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0" windowWidth="19320" windowHeight="11760" activeTab="0"/>
  </bookViews>
  <sheets>
    <sheet name="Input og resultat" sheetId="1" r:id="rId1"/>
    <sheet name="Beregn" sheetId="2" r:id="rId2"/>
    <sheet name="Tables" sheetId="3" r:id="rId3"/>
    <sheet name="help1" sheetId="4" r:id="rId4"/>
  </sheets>
  <definedNames>
    <definedName name="F_bredde">'Input og resultat'!$B$15</definedName>
    <definedName name="F_bund_0_1">'Input og resultat'!$B$18</definedName>
    <definedName name="F_draenkapacitet">'Input og resultat'!$B$20</definedName>
    <definedName name="F_hojde">'Input og resultat'!$B$16</definedName>
    <definedName name="F_hulrum">'Input og resultat'!$B$17</definedName>
    <definedName name="F_laengde">'Input og resultat'!$B$19</definedName>
    <definedName name="G_bredde">'Input og resultat'!$B$32</definedName>
    <definedName name="G_draenkapacitet">'Input og resultat'!$B$35</definedName>
    <definedName name="G_dybde">'Input og resultat'!$B$33</definedName>
    <definedName name="G_Laengde">'Input og resultat'!$B$34</definedName>
    <definedName name="G_sam_opl">'Input og resultat'!$B$36</definedName>
    <definedName name="P_belaegning">'Input og resultat'!$B$40</definedName>
    <definedName name="P_draenkapacitet">'Input og resultat'!$B$43</definedName>
    <definedName name="P_opstuv_vol">'Input og resultat'!$B$42</definedName>
    <definedName name="P_tilst_areal">'Input og resultat'!$B$41</definedName>
    <definedName name="R_areal">'Input og resultat'!$B$25</definedName>
    <definedName name="R_draenkapacitet">'Input og resultat'!$B$26</definedName>
    <definedName name="R_dybde">'Input og resultat'!$B$24</definedName>
    <definedName name="R_sam_opland">'Input og resultat'!$B$27</definedName>
    <definedName name="solver_adj" localSheetId="1" hidden="1">'Beregn'!$N$6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'Beregn'!$N$6</definedName>
    <definedName name="solver_lhs2" localSheetId="1" hidden="1">'Beregn'!$N$6</definedName>
    <definedName name="solver_lhs3" localSheetId="1" hidden="1">'Beregn'!#REF!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'Beregn'!$U$22</definedName>
    <definedName name="solver_pre" localSheetId="1" hidden="1">0.000001</definedName>
    <definedName name="solver_rel1" localSheetId="1" hidden="1">3</definedName>
    <definedName name="solver_rel2" localSheetId="1" hidden="1">3</definedName>
    <definedName name="solver_rel3" localSheetId="1" hidden="1">3</definedName>
    <definedName name="solver_rhs1" localSheetId="1" hidden="1">0</definedName>
    <definedName name="solver_rhs2" localSheetId="1" hidden="1">0</definedName>
    <definedName name="solver_rhs3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<sst xmlns="http://schemas.openxmlformats.org/spreadsheetml/2006/main" count="313" uniqueCount="182">
  <si>
    <t>b_0</t>
  </si>
  <si>
    <t>b_1</t>
  </si>
  <si>
    <t>V(b_0)</t>
  </si>
  <si>
    <t>Cov</t>
  </si>
  <si>
    <t>V(b_1)</t>
  </si>
  <si>
    <t>Res.var.</t>
  </si>
  <si>
    <t>z_0</t>
  </si>
  <si>
    <t>i10m</t>
  </si>
  <si>
    <t>i30m</t>
  </si>
  <si>
    <t>i60m</t>
  </si>
  <si>
    <t>i3h</t>
  </si>
  <si>
    <t>i6h</t>
  </si>
  <si>
    <t>i12h</t>
  </si>
  <si>
    <t>i24h</t>
  </si>
  <si>
    <t>i48h</t>
  </si>
  <si>
    <t>Variabel</t>
  </si>
  <si>
    <t>mean</t>
  </si>
  <si>
    <t>res.var</t>
  </si>
  <si>
    <t>pred.var.</t>
  </si>
  <si>
    <t>L-CV</t>
  </si>
  <si>
    <t>Kappa</t>
  </si>
  <si>
    <t>res. var</t>
  </si>
  <si>
    <t>pred. var.</t>
  </si>
  <si>
    <t>res.var.</t>
  </si>
  <si>
    <t>q0</t>
  </si>
  <si>
    <t>lambda</t>
  </si>
  <si>
    <t>kappa</t>
  </si>
  <si>
    <t>V_lambda</t>
  </si>
  <si>
    <t>V_mean</t>
  </si>
  <si>
    <t>V_kappa</t>
  </si>
  <si>
    <t>T</t>
  </si>
  <si>
    <t>Variable</t>
  </si>
  <si>
    <t>Region</t>
  </si>
  <si>
    <t>V(lambda)</t>
  </si>
  <si>
    <t>LAMBDA</t>
  </si>
  <si>
    <t>MEAN</t>
  </si>
  <si>
    <t>E(lambda)</t>
  </si>
  <si>
    <t>Årsmiddelnedbør (mm)</t>
  </si>
  <si>
    <t>z_T</t>
  </si>
  <si>
    <t>S(z_T)</t>
  </si>
  <si>
    <t>Gentagelsesperiode (år)</t>
  </si>
  <si>
    <t>Intensity</t>
  </si>
  <si>
    <t>Dur (min)</t>
  </si>
  <si>
    <t>Alpha</t>
  </si>
  <si>
    <t>Theta</t>
  </si>
  <si>
    <t>Nu</t>
  </si>
  <si>
    <t>ln(dur)</t>
  </si>
  <si>
    <t>ln(int)</t>
  </si>
  <si>
    <t>Regression</t>
  </si>
  <si>
    <t>Varighed</t>
  </si>
  <si>
    <t>S_T</t>
  </si>
  <si>
    <t>(min)</t>
  </si>
  <si>
    <r>
      <t>(</t>
    </r>
    <r>
      <rPr>
        <sz val="10"/>
        <rFont val="Symbol"/>
        <family val="1"/>
      </rPr>
      <t>m</t>
    </r>
    <r>
      <rPr>
        <sz val="10"/>
        <rFont val="Arial"/>
        <family val="0"/>
      </rPr>
      <t>m/s)</t>
    </r>
  </si>
  <si>
    <r>
      <t>z</t>
    </r>
    <r>
      <rPr>
        <vertAlign val="subscript"/>
        <sz val="10"/>
        <rFont val="Arial"/>
        <family val="2"/>
      </rPr>
      <t>T</t>
    </r>
  </si>
  <si>
    <t>Min Lanbda</t>
  </si>
  <si>
    <t>Regnkurve karakteristika</t>
  </si>
  <si>
    <t>Design regnkurve</t>
  </si>
  <si>
    <t>ln(dur+Theta)</t>
  </si>
  <si>
    <t>ln(dur+Theta)^2</t>
  </si>
  <si>
    <t>ln(dur+Theta)*ln(int)</t>
  </si>
  <si>
    <t>Dur(min)</t>
  </si>
  <si>
    <t>i1m</t>
  </si>
  <si>
    <t>i2m</t>
  </si>
  <si>
    <t>i5m</t>
  </si>
  <si>
    <t>Sum</t>
  </si>
  <si>
    <t>Est. Intensity</t>
  </si>
  <si>
    <t>Obj.Func</t>
  </si>
  <si>
    <t>Øst DK</t>
  </si>
  <si>
    <t>Vest DK</t>
  </si>
  <si>
    <t>Region Vest = 1</t>
  </si>
  <si>
    <t>Region Øst = 2</t>
  </si>
  <si>
    <t>Oplandskarakteristika</t>
  </si>
  <si>
    <t>Afskærende lednings kapacitet (l/s)</t>
  </si>
  <si>
    <t>Estimates, 3 parameters:</t>
  </si>
  <si>
    <t>Mellemresultater, svarende til bilag 21 i Skrift 16</t>
  </si>
  <si>
    <t>Sikkerhedsfaktor (Fra Skrift 27)</t>
  </si>
  <si>
    <t>Befæstet areal (ha)</t>
  </si>
  <si>
    <t>Hydrologisk reduktionsfaktor (-)</t>
  </si>
  <si>
    <t>Reduceret areal (ha)</t>
  </si>
  <si>
    <t>Afløbstal (mu-m/s</t>
  </si>
  <si>
    <t>Vr,k (mm)</t>
  </si>
  <si>
    <t>Varighed (h)</t>
  </si>
  <si>
    <t>indgår ved beregning af bassinvolumen</t>
  </si>
  <si>
    <t>m3</t>
  </si>
  <si>
    <t>Volumen af bassin</t>
  </si>
  <si>
    <t>Bassindimensionering opstrøms udløb</t>
  </si>
  <si>
    <t>alpha</t>
  </si>
  <si>
    <t>nu</t>
  </si>
  <si>
    <t>Vr,k</t>
  </si>
  <si>
    <t>t_r</t>
  </si>
  <si>
    <t>i_(t_r)</t>
  </si>
  <si>
    <t>mu-m/s * min</t>
  </si>
  <si>
    <t>mm</t>
  </si>
  <si>
    <r>
      <t>k*z</t>
    </r>
    <r>
      <rPr>
        <vertAlign val="subscript"/>
        <sz val="10"/>
        <rFont val="Arial"/>
        <family val="2"/>
      </rPr>
      <t>T</t>
    </r>
  </si>
  <si>
    <t>et tillæg på 20 %</t>
  </si>
  <si>
    <t>Effekten af koblede regn er indregnet i form af</t>
  </si>
  <si>
    <t>Estimates, 2 parameters, only for design of basins, using 30-2880 minutes</t>
  </si>
  <si>
    <t>og høje gentagelsesperioder (over 250 år)</t>
  </si>
  <si>
    <t>Volumen overvurderes for meget små afløbstal (under 0.5 l/s/ha)</t>
  </si>
  <si>
    <t>Faktoren beskriver usikkerhed, klima, mv.  og ligger mellem 1.0 - 1.8</t>
  </si>
  <si>
    <t>Sikkerhedsfaktoren er defineret i Skrift 27.</t>
  </si>
  <si>
    <t>m/s</t>
  </si>
  <si>
    <t>Faskine</t>
  </si>
  <si>
    <t>m</t>
  </si>
  <si>
    <t>Højde</t>
  </si>
  <si>
    <t>0-1</t>
  </si>
  <si>
    <r>
      <t xml:space="preserve">Udsivning i faskinebund: </t>
    </r>
    <r>
      <rPr>
        <b/>
        <sz val="10"/>
        <rFont val="Arial"/>
        <family val="2"/>
      </rPr>
      <t>0=Nej</t>
    </r>
    <r>
      <rPr>
        <sz val="10"/>
        <rFont val="Arial"/>
        <family val="0"/>
      </rPr>
      <t xml:space="preserve"> ,1=ja</t>
    </r>
  </si>
  <si>
    <t>Længde faskine</t>
  </si>
  <si>
    <t>Dræn kapacitet, gns-snit</t>
  </si>
  <si>
    <t>l/s</t>
  </si>
  <si>
    <t>Regnbed</t>
  </si>
  <si>
    <t>Dybde</t>
  </si>
  <si>
    <t>m²</t>
  </si>
  <si>
    <t>Dræn kapacitet</t>
  </si>
  <si>
    <t xml:space="preserve">Grøft / wadi, V-formet </t>
  </si>
  <si>
    <t>Bredde (kronekant)</t>
  </si>
  <si>
    <t>Grøft</t>
  </si>
  <si>
    <t>Hjælpestørrelser, faskine</t>
  </si>
  <si>
    <t>Opstuvningsvolumen</t>
  </si>
  <si>
    <t xml:space="preserve"> [m³]</t>
  </si>
  <si>
    <t xml:space="preserve">Faskine volumen </t>
  </si>
  <si>
    <t>Regn, der holdes umiddelbart</t>
  </si>
  <si>
    <t xml:space="preserve"> [mm]</t>
  </si>
  <si>
    <t xml:space="preserve">Regn, der siver pr døgn </t>
  </si>
  <si>
    <t xml:space="preserve"> [mm/døgn]</t>
  </si>
  <si>
    <t>Tømmetid</t>
  </si>
  <si>
    <t xml:space="preserve"> [s]</t>
  </si>
  <si>
    <t>Hjælpestørrelser, regnbed</t>
  </si>
  <si>
    <t>Hjælpestørrelser, grøft</t>
  </si>
  <si>
    <t>Vol m³</t>
  </si>
  <si>
    <t>Dræn kap l/s</t>
  </si>
  <si>
    <t xml:space="preserve">Afløbstal </t>
  </si>
  <si>
    <t>[l/sek/ha]</t>
  </si>
  <si>
    <t>Antal iterationer</t>
  </si>
  <si>
    <t xml:space="preserve">NB. Sikkerhedsfaktorer for koblede regn </t>
  </si>
  <si>
    <t>Designkarakteristika</t>
  </si>
  <si>
    <t>Befæstet areal (m²)</t>
  </si>
  <si>
    <t>Bredde</t>
  </si>
  <si>
    <t>Iterationsafstand</t>
  </si>
  <si>
    <t>Volumen m³</t>
  </si>
  <si>
    <t>Afskærende lednings kapacitet l/s</t>
  </si>
  <si>
    <t>Total opland (m²)</t>
  </si>
  <si>
    <t>Volumen overvurderes for meget små afløbstal (under 0.5 l/sek/ha)</t>
  </si>
  <si>
    <t>Permeabel belægning</t>
  </si>
  <si>
    <t>Hjælpestørrelser, perm. belægning</t>
  </si>
  <si>
    <t>l/m²</t>
  </si>
  <si>
    <t>Perm. bel.</t>
  </si>
  <si>
    <t>år</t>
  </si>
  <si>
    <t>Nedbørskarakteristika</t>
  </si>
  <si>
    <t>Samlet opland (befæstet areal + eget areal)</t>
  </si>
  <si>
    <t xml:space="preserve">Areal af permeabel belægning </t>
  </si>
  <si>
    <t>Beregningstjek</t>
  </si>
  <si>
    <t>Region (Region Vest = 1, Region Øst =2)</t>
  </si>
  <si>
    <t>Pil ikke - intern beregning</t>
  </si>
  <si>
    <t>Areal regnbed</t>
  </si>
  <si>
    <t>Længde grøft</t>
  </si>
  <si>
    <t>Areal af tilstødende afvandingsareal (tag, vej, etc)</t>
  </si>
  <si>
    <t>Sikkerhedsfaktor (klima, fremtidig udbygning, etc)</t>
  </si>
  <si>
    <t>Hulrums andel i faskine [Plast: 0,95, sten: 0,25]</t>
  </si>
  <si>
    <t xml:space="preserve">Jord- og nedsivningskarakteristika </t>
  </si>
  <si>
    <t>Årsmiddelnedbør (mm) - se figur nederst</t>
  </si>
  <si>
    <t>Årsmiddelnedbørsfordeling i Danmark 1961-1990 [mm/år]</t>
  </si>
  <si>
    <r>
      <rPr>
        <i/>
        <sz val="10"/>
        <rFont val="Arial"/>
        <family val="2"/>
      </rPr>
      <t>K</t>
    </r>
    <r>
      <rPr>
        <sz val="10"/>
        <rFont val="Arial"/>
        <family val="2"/>
      </rPr>
      <t xml:space="preserve"> (Hydraulisk  ledningsevne) - se evt måling nederst </t>
    </r>
  </si>
  <si>
    <t>Opstuv. vol under og i belægning *</t>
  </si>
  <si>
    <t>* 1 l/m² svarer til 1 mm vand under og i belægningen</t>
  </si>
  <si>
    <t xml:space="preserve"> mm/ time</t>
  </si>
  <si>
    <t>Silt:</t>
  </si>
  <si>
    <t>Grus</t>
  </si>
  <si>
    <t>Sand:</t>
  </si>
  <si>
    <t>1e-5 til 1e-2</t>
  </si>
  <si>
    <t>1e-9 til 1e-5</t>
  </si>
  <si>
    <t>Ren ler:</t>
  </si>
  <si>
    <t>under 1,0e-9</t>
  </si>
  <si>
    <t>Moræneler</t>
  </si>
  <si>
    <t>3.600 - 360.000</t>
  </si>
  <si>
    <t>36 - 36.000</t>
  </si>
  <si>
    <t>0,0036 - 36</t>
  </si>
  <si>
    <t>0,00036 - 3,6</t>
  </si>
  <si>
    <t>1e-3 til 0,1</t>
  </si>
  <si>
    <r>
      <t xml:space="preserve">Tabelværdier for den hydrauliske ledningsevne, </t>
    </r>
    <r>
      <rPr>
        <i/>
        <sz val="10"/>
        <rFont val="Arial"/>
        <family val="2"/>
      </rPr>
      <t>K.</t>
    </r>
    <r>
      <rPr>
        <sz val="10"/>
        <rFont val="Arial"/>
        <family val="2"/>
      </rPr>
      <t xml:space="preserve"> Værdierne rækker over et stort spænd og K skal måles aktuelt på stedet.</t>
    </r>
    <r>
      <rPr>
        <i/>
        <sz val="10"/>
        <rFont val="Arial"/>
        <family val="2"/>
      </rPr>
      <t xml:space="preserve"> </t>
    </r>
  </si>
  <si>
    <t xml:space="preserve"> under 0,0036</t>
  </si>
  <si>
    <t>1e-10 til 1e-6</t>
  </si>
</sst>
</file>

<file path=xl/styles.xml><?xml version="1.0" encoding="utf-8"?>
<styleSheet xmlns="http://schemas.openxmlformats.org/spreadsheetml/2006/main">
  <numFmts count="5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"/>
    <numFmt numFmtId="193" formatCode="0.000"/>
    <numFmt numFmtId="194" formatCode="0.000%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"/>
    <numFmt numFmtId="201" formatCode="0.00000"/>
    <numFmt numFmtId="202" formatCode="0.000000"/>
    <numFmt numFmtId="203" formatCode="&quot;kr&quot;\ #,##0.0"/>
    <numFmt numFmtId="204" formatCode="#,##0.0"/>
    <numFmt numFmtId="205" formatCode="0.0000%"/>
    <numFmt numFmtId="206" formatCode="#,###\ &quot;timer&quot;"/>
    <numFmt numFmtId="207" formatCode="##,###\ &quot;timer&quot;"/>
    <numFmt numFmtId="208" formatCode="0.0E+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63"/>
      <name val="Arial"/>
      <family val="2"/>
    </font>
    <font>
      <sz val="7.5"/>
      <color indexed="63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i/>
      <sz val="14"/>
      <name val="Arial"/>
      <family val="2"/>
    </font>
    <font>
      <sz val="10"/>
      <color indexed="9"/>
      <name val="Arial"/>
      <family val="2"/>
    </font>
    <font>
      <b/>
      <i/>
      <sz val="14"/>
      <name val="Arial"/>
      <family val="2"/>
    </font>
    <font>
      <sz val="3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3" applyNumberFormat="0" applyAlignment="0" applyProtection="0"/>
    <xf numFmtId="0" fontId="13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47" fillId="21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19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51" applyFont="1">
      <alignment/>
      <protection/>
    </xf>
    <xf numFmtId="0" fontId="6" fillId="0" borderId="0" xfId="51" applyFont="1">
      <alignment/>
      <protection/>
    </xf>
    <xf numFmtId="11" fontId="6" fillId="0" borderId="0" xfId="51" applyNumberFormat="1" applyFont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4" fillId="0" borderId="0" xfId="51" applyNumberFormat="1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0" fillId="33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14" xfId="0" applyFont="1" applyFill="1" applyBorder="1" applyAlignment="1" applyProtection="1">
      <alignment/>
      <protection locked="0"/>
    </xf>
    <xf numFmtId="0" fontId="0" fillId="33" borderId="14" xfId="0" applyFill="1" applyBorder="1" applyAlignment="1">
      <alignment/>
    </xf>
    <xf numFmtId="0" fontId="8" fillId="33" borderId="15" xfId="0" applyFont="1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8" fillId="33" borderId="15" xfId="0" applyNumberFormat="1" applyFont="1" applyFill="1" applyBorder="1" applyAlignment="1" applyProtection="1">
      <alignment/>
      <protection locked="0"/>
    </xf>
    <xf numFmtId="0" fontId="7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0" xfId="0" applyFill="1" applyAlignment="1">
      <alignment/>
    </xf>
    <xf numFmtId="0" fontId="9" fillId="33" borderId="13" xfId="0" applyFont="1" applyFill="1" applyBorder="1" applyAlignment="1">
      <alignment/>
    </xf>
    <xf numFmtId="192" fontId="0" fillId="0" borderId="0" xfId="0" applyNumberFormat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2" fontId="0" fillId="34" borderId="14" xfId="0" applyNumberFormat="1" applyFill="1" applyBorder="1" applyAlignment="1">
      <alignment/>
    </xf>
    <xf numFmtId="2" fontId="0" fillId="34" borderId="24" xfId="0" applyNumberFormat="1" applyFill="1" applyBorder="1" applyAlignment="1">
      <alignment/>
    </xf>
    <xf numFmtId="192" fontId="0" fillId="0" borderId="0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5" xfId="0" applyNumberFormat="1" applyFill="1" applyBorder="1" applyAlignment="1">
      <alignment/>
    </xf>
    <xf numFmtId="2" fontId="0" fillId="0" borderId="26" xfId="0" applyNumberForma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92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92" fontId="0" fillId="0" borderId="0" xfId="0" applyNumberFormat="1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7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7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0" borderId="31" xfId="0" applyFont="1" applyFill="1" applyBorder="1" applyAlignment="1">
      <alignment/>
    </xf>
    <xf numFmtId="0" fontId="7" fillId="34" borderId="32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7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2" fontId="0" fillId="0" borderId="34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6" xfId="0" applyFill="1" applyBorder="1" applyAlignment="1">
      <alignment/>
    </xf>
    <xf numFmtId="11" fontId="0" fillId="0" borderId="17" xfId="0" applyNumberFormat="1" applyBorder="1" applyAlignment="1">
      <alignment/>
    </xf>
    <xf numFmtId="0" fontId="7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33" borderId="36" xfId="0" applyFill="1" applyBorder="1" applyAlignment="1">
      <alignment/>
    </xf>
    <xf numFmtId="0" fontId="9" fillId="33" borderId="19" xfId="0" applyFont="1" applyFill="1" applyBorder="1" applyAlignment="1">
      <alignment/>
    </xf>
    <xf numFmtId="0" fontId="15" fillId="33" borderId="14" xfId="0" applyFont="1" applyFill="1" applyBorder="1" applyAlignment="1">
      <alignment/>
    </xf>
    <xf numFmtId="0" fontId="16" fillId="33" borderId="14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0" fillId="33" borderId="24" xfId="0" applyFill="1" applyBorder="1" applyAlignment="1">
      <alignment/>
    </xf>
    <xf numFmtId="11" fontId="0" fillId="0" borderId="0" xfId="0" applyNumberFormat="1" applyBorder="1" applyAlignment="1">
      <alignment/>
    </xf>
    <xf numFmtId="0" fontId="0" fillId="33" borderId="36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33" borderId="37" xfId="0" applyFill="1" applyBorder="1" applyAlignment="1">
      <alignment/>
    </xf>
    <xf numFmtId="0" fontId="8" fillId="33" borderId="38" xfId="0" applyFont="1" applyFill="1" applyBorder="1" applyAlignment="1" applyProtection="1">
      <alignment/>
      <protection locked="0"/>
    </xf>
    <xf numFmtId="0" fontId="9" fillId="33" borderId="11" xfId="0" applyFont="1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40" xfId="0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14" xfId="0" applyFont="1" applyFill="1" applyBorder="1" applyAlignment="1">
      <alignment/>
    </xf>
    <xf numFmtId="0" fontId="16" fillId="33" borderId="24" xfId="0" applyFont="1" applyFill="1" applyBorder="1" applyAlignment="1">
      <alignment/>
    </xf>
    <xf numFmtId="0" fontId="1" fillId="34" borderId="41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9" fillId="0" borderId="29" xfId="0" applyNumberFormat="1" applyFont="1" applyBorder="1" applyAlignment="1">
      <alignment/>
    </xf>
    <xf numFmtId="192" fontId="7" fillId="34" borderId="22" xfId="0" applyNumberFormat="1" applyFont="1" applyFill="1" applyBorder="1" applyAlignment="1">
      <alignment/>
    </xf>
    <xf numFmtId="11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204" fontId="7" fillId="34" borderId="22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7" fillId="34" borderId="46" xfId="0" applyFont="1" applyFill="1" applyBorder="1" applyAlignment="1">
      <alignment/>
    </xf>
    <xf numFmtId="0" fontId="1" fillId="0" borderId="47" xfId="0" applyFont="1" applyBorder="1" applyAlignment="1">
      <alignment/>
    </xf>
    <xf numFmtId="0" fontId="1" fillId="34" borderId="13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30" xfId="0" applyFont="1" applyFill="1" applyBorder="1" applyAlignment="1" applyProtection="1">
      <alignment/>
      <protection locked="0"/>
    </xf>
    <xf numFmtId="0" fontId="8" fillId="33" borderId="50" xfId="0" applyNumberFormat="1" applyFont="1" applyFill="1" applyBorder="1" applyAlignment="1" applyProtection="1">
      <alignment/>
      <protection locked="0"/>
    </xf>
    <xf numFmtId="0" fontId="9" fillId="34" borderId="41" xfId="0" applyFont="1" applyFill="1" applyBorder="1" applyAlignment="1">
      <alignment/>
    </xf>
    <xf numFmtId="2" fontId="0" fillId="34" borderId="42" xfId="0" applyNumberFormat="1" applyFill="1" applyBorder="1" applyAlignment="1">
      <alignment/>
    </xf>
    <xf numFmtId="0" fontId="9" fillId="34" borderId="42" xfId="0" applyFont="1" applyFill="1" applyBorder="1" applyAlignment="1">
      <alignment/>
    </xf>
    <xf numFmtId="0" fontId="9" fillId="34" borderId="49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51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1" fontId="7" fillId="34" borderId="22" xfId="0" applyNumberFormat="1" applyFont="1" applyFill="1" applyBorder="1" applyAlignment="1" applyProtection="1" quotePrefix="1">
      <alignment/>
      <protection locked="0"/>
    </xf>
    <xf numFmtId="0" fontId="8" fillId="33" borderId="55" xfId="0" applyFont="1" applyFill="1" applyBorder="1" applyAlignment="1" applyProtection="1">
      <alignment/>
      <protection locked="0"/>
    </xf>
    <xf numFmtId="0" fontId="8" fillId="33" borderId="56" xfId="0" applyFont="1" applyFill="1" applyBorder="1" applyAlignment="1" applyProtection="1">
      <alignment/>
      <protection locked="0"/>
    </xf>
    <xf numFmtId="0" fontId="8" fillId="33" borderId="16" xfId="0" applyFont="1" applyFill="1" applyBorder="1" applyAlignment="1" applyProtection="1">
      <alignment/>
      <protection locked="0"/>
    </xf>
    <xf numFmtId="0" fontId="0" fillId="33" borderId="41" xfId="0" applyFill="1" applyBorder="1" applyAlignment="1">
      <alignment/>
    </xf>
    <xf numFmtId="0" fontId="0" fillId="33" borderId="51" xfId="0" applyFont="1" applyFill="1" applyBorder="1" applyAlignment="1">
      <alignment/>
    </xf>
    <xf numFmtId="0" fontId="8" fillId="33" borderId="57" xfId="0" applyFont="1" applyFill="1" applyBorder="1" applyAlignment="1" applyProtection="1">
      <alignment/>
      <protection locked="0"/>
    </xf>
    <xf numFmtId="0" fontId="0" fillId="33" borderId="54" xfId="0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11" fontId="8" fillId="33" borderId="58" xfId="0" applyNumberFormat="1" applyFont="1" applyFill="1" applyBorder="1" applyAlignment="1" applyProtection="1">
      <alignment/>
      <protection locked="0"/>
    </xf>
    <xf numFmtId="0" fontId="9" fillId="33" borderId="42" xfId="0" applyNumberFormat="1" applyFont="1" applyFill="1" applyBorder="1" applyAlignment="1">
      <alignment/>
    </xf>
    <xf numFmtId="0" fontId="9" fillId="33" borderId="49" xfId="0" applyNumberFormat="1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7" xfId="0" applyBorder="1" applyAlignment="1">
      <alignment/>
    </xf>
    <xf numFmtId="0" fontId="0" fillId="33" borderId="59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35" borderId="10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9" xfId="0" applyFont="1" applyFill="1" applyBorder="1" applyAlignment="1">
      <alignment/>
    </xf>
    <xf numFmtId="192" fontId="0" fillId="0" borderId="14" xfId="0" applyNumberForma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2" xfId="0" applyFill="1" applyBorder="1" applyAlignment="1">
      <alignment/>
    </xf>
    <xf numFmtId="11" fontId="0" fillId="0" borderId="22" xfId="0" applyNumberFormat="1" applyBorder="1" applyAlignment="1">
      <alignment/>
    </xf>
    <xf numFmtId="200" fontId="0" fillId="0" borderId="0" xfId="0" applyNumberFormat="1" applyAlignment="1">
      <alignment/>
    </xf>
    <xf numFmtId="0" fontId="0" fillId="35" borderId="19" xfId="0" applyFont="1" applyFill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7" xfId="0" applyNumberFormat="1" applyFont="1" applyBorder="1" applyAlignment="1" applyProtection="1">
      <alignment/>
      <protection locked="0"/>
    </xf>
    <xf numFmtId="0" fontId="9" fillId="0" borderId="17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/>
      <protection locked="0"/>
    </xf>
    <xf numFmtId="0" fontId="19" fillId="33" borderId="41" xfId="0" applyFont="1" applyFill="1" applyBorder="1" applyAlignment="1">
      <alignment horizontal="center"/>
    </xf>
    <xf numFmtId="11" fontId="0" fillId="35" borderId="60" xfId="0" applyNumberFormat="1" applyFill="1" applyBorder="1" applyAlignment="1" applyProtection="1">
      <alignment/>
      <protection locked="0"/>
    </xf>
    <xf numFmtId="0" fontId="0" fillId="35" borderId="61" xfId="0" applyFill="1" applyBorder="1" applyAlignment="1" applyProtection="1">
      <alignment/>
      <protection/>
    </xf>
    <xf numFmtId="0" fontId="0" fillId="35" borderId="54" xfId="0" applyFont="1" applyFill="1" applyBorder="1" applyAlignment="1" applyProtection="1">
      <alignment/>
      <protection locked="0"/>
    </xf>
    <xf numFmtId="205" fontId="0" fillId="35" borderId="51" xfId="0" applyNumberFormat="1" applyFont="1" applyFill="1" applyBorder="1" applyAlignment="1" applyProtection="1">
      <alignment horizontal="center"/>
      <protection locked="0"/>
    </xf>
    <xf numFmtId="205" fontId="0" fillId="35" borderId="27" xfId="0" applyNumberFormat="1" applyFont="1" applyFill="1" applyBorder="1" applyAlignment="1" applyProtection="1">
      <alignment horizontal="center"/>
      <protection locked="0"/>
    </xf>
    <xf numFmtId="205" fontId="0" fillId="35" borderId="52" xfId="0" applyNumberFormat="1" applyFont="1" applyFill="1" applyBorder="1" applyAlignment="1" applyProtection="1">
      <alignment horizontal="center"/>
      <protection locked="0"/>
    </xf>
    <xf numFmtId="0" fontId="0" fillId="35" borderId="43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0" fillId="35" borderId="53" xfId="0" applyFill="1" applyBorder="1" applyAlignment="1" applyProtection="1">
      <alignment horizontal="center"/>
      <protection locked="0"/>
    </xf>
    <xf numFmtId="0" fontId="0" fillId="35" borderId="36" xfId="0" applyFill="1" applyBorder="1" applyAlignment="1" applyProtection="1">
      <alignment horizontal="center"/>
      <protection locked="0"/>
    </xf>
    <xf numFmtId="0" fontId="0" fillId="35" borderId="54" xfId="0" applyFill="1" applyBorder="1" applyAlignment="1" applyProtection="1">
      <alignment horizontal="center"/>
      <protection locked="0"/>
    </xf>
    <xf numFmtId="207" fontId="0" fillId="0" borderId="0" xfId="0" applyNumberFormat="1" applyBorder="1" applyAlignment="1">
      <alignment horizontal="center"/>
    </xf>
    <xf numFmtId="206" fontId="0" fillId="0" borderId="0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4" xfId="0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Fill="1" applyBorder="1" applyAlignment="1">
      <alignment/>
    </xf>
    <xf numFmtId="0" fontId="0" fillId="36" borderId="42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6" borderId="14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9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11" fontId="0" fillId="0" borderId="0" xfId="0" applyNumberFormat="1" applyFill="1" applyBorder="1" applyAlignment="1">
      <alignment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_General T-year event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57150</xdr:rowOff>
    </xdr:from>
    <xdr:to>
      <xdr:col>7</xdr:col>
      <xdr:colOff>485775</xdr:colOff>
      <xdr:row>4</xdr:row>
      <xdr:rowOff>47625</xdr:rowOff>
    </xdr:to>
    <xdr:sp>
      <xdr:nvSpPr>
        <xdr:cNvPr id="1" name="Afrundet rektangel 1"/>
        <xdr:cNvSpPr>
          <a:spLocks/>
        </xdr:cNvSpPr>
      </xdr:nvSpPr>
      <xdr:spPr>
        <a:xfrm>
          <a:off x="4543425" y="57150"/>
          <a:ext cx="5200650" cy="819150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Indtast blå og røde tal i kolonne B.
</a:t>
          </a:r>
          <a:r>
            <a:rPr lang="en-US" cap="none" sz="2000" b="0" i="0" u="none" baseline="0">
              <a:solidFill>
                <a:srgbClr val="000000"/>
              </a:solidFill>
            </a:rPr>
            <a:t>Derefter tryk på knappen "Beregn"</a:t>
          </a:r>
        </a:p>
      </xdr:txBody>
    </xdr:sp>
    <xdr:clientData/>
  </xdr:twoCellAnchor>
  <xdr:twoCellAnchor editAs="oneCell">
    <xdr:from>
      <xdr:col>3</xdr:col>
      <xdr:colOff>152400</xdr:colOff>
      <xdr:row>13</xdr:row>
      <xdr:rowOff>9525</xdr:rowOff>
    </xdr:from>
    <xdr:to>
      <xdr:col>3</xdr:col>
      <xdr:colOff>2228850</xdr:colOff>
      <xdr:row>21</xdr:row>
      <xdr:rowOff>9525</xdr:rowOff>
    </xdr:to>
    <xdr:pic>
      <xdr:nvPicPr>
        <xdr:cNvPr id="2" name="Picture 30" descr="F:\CDS\Grundtegning_1D_faski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2533650"/>
          <a:ext cx="2076450" cy="1438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180975</xdr:colOff>
      <xdr:row>22</xdr:row>
      <xdr:rowOff>19050</xdr:rowOff>
    </xdr:from>
    <xdr:to>
      <xdr:col>3</xdr:col>
      <xdr:colOff>2257425</xdr:colOff>
      <xdr:row>28</xdr:row>
      <xdr:rowOff>104775</xdr:rowOff>
    </xdr:to>
    <xdr:pic>
      <xdr:nvPicPr>
        <xdr:cNvPr id="3" name="Picture 31" descr="F:\CDS\Grundtegning_1D_regnbed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4152900"/>
          <a:ext cx="2076450" cy="1200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190500</xdr:colOff>
      <xdr:row>30</xdr:row>
      <xdr:rowOff>9525</xdr:rowOff>
    </xdr:from>
    <xdr:to>
      <xdr:col>3</xdr:col>
      <xdr:colOff>2266950</xdr:colOff>
      <xdr:row>37</xdr:row>
      <xdr:rowOff>19050</xdr:rowOff>
    </xdr:to>
    <xdr:pic>
      <xdr:nvPicPr>
        <xdr:cNvPr id="4" name="Picture 32" descr="F:\CDS\Grundtegning_1D_grøf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5591175"/>
          <a:ext cx="2076450" cy="1285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180975</xdr:colOff>
      <xdr:row>38</xdr:row>
      <xdr:rowOff>19050</xdr:rowOff>
    </xdr:from>
    <xdr:to>
      <xdr:col>3</xdr:col>
      <xdr:colOff>2257425</xdr:colOff>
      <xdr:row>44</xdr:row>
      <xdr:rowOff>28575</xdr:rowOff>
    </xdr:to>
    <xdr:pic>
      <xdr:nvPicPr>
        <xdr:cNvPr id="5" name="Picture 34" descr="F:\CDS\Grundtegning_1D_permbel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7048500"/>
          <a:ext cx="2076450" cy="1123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9525</xdr:colOff>
      <xdr:row>55</xdr:row>
      <xdr:rowOff>123825</xdr:rowOff>
    </xdr:from>
    <xdr:to>
      <xdr:col>3</xdr:col>
      <xdr:colOff>2152650</xdr:colOff>
      <xdr:row>82</xdr:row>
      <xdr:rowOff>123825</xdr:rowOff>
    </xdr:to>
    <xdr:pic>
      <xdr:nvPicPr>
        <xdr:cNvPr id="6" name="Billede 1" descr="image0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0096500"/>
          <a:ext cx="6543675" cy="437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J8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6.28125" style="0" customWidth="1"/>
    <col min="2" max="2" width="12.7109375" style="0" customWidth="1"/>
    <col min="3" max="3" width="7.00390625" style="0" customWidth="1"/>
    <col min="4" max="4" width="35.8515625" style="0" customWidth="1"/>
    <col min="5" max="5" width="10.8515625" style="0" customWidth="1"/>
    <col min="6" max="6" width="16.57421875" style="0" customWidth="1"/>
    <col min="7" max="7" width="9.57421875" style="0" bestFit="1" customWidth="1"/>
    <col min="8" max="8" width="11.8515625" style="0" customWidth="1"/>
    <col min="9" max="9" width="29.00390625" style="0" customWidth="1"/>
    <col min="10" max="10" width="16.28125" style="0" customWidth="1"/>
    <col min="11" max="11" width="12.28125" style="0" customWidth="1"/>
    <col min="12" max="12" width="18.00390625" style="0" customWidth="1"/>
    <col min="13" max="13" width="13.421875" style="0" customWidth="1"/>
  </cols>
  <sheetData>
    <row r="1" spans="1:10" ht="19.5" thickBot="1">
      <c r="A1" s="177" t="s">
        <v>148</v>
      </c>
      <c r="B1" s="128"/>
      <c r="C1" s="129"/>
      <c r="F1" s="14"/>
      <c r="G1" s="14"/>
      <c r="H1" s="14"/>
      <c r="I1" s="161" t="s">
        <v>153</v>
      </c>
      <c r="J1" s="162"/>
    </row>
    <row r="2" spans="1:10" ht="12.75">
      <c r="A2" s="101" t="s">
        <v>160</v>
      </c>
      <c r="B2" s="102">
        <v>650</v>
      </c>
      <c r="C2" s="130" t="s">
        <v>92</v>
      </c>
      <c r="F2" s="14"/>
      <c r="G2" s="14"/>
      <c r="H2" s="14"/>
      <c r="I2" s="163" t="s">
        <v>140</v>
      </c>
      <c r="J2" s="178">
        <v>0.39999999999999997</v>
      </c>
    </row>
    <row r="3" spans="1:10" ht="13.5" thickBot="1">
      <c r="A3" s="159" t="s">
        <v>152</v>
      </c>
      <c r="B3" s="145">
        <v>2</v>
      </c>
      <c r="C3" s="146"/>
      <c r="F3" s="14"/>
      <c r="G3" s="14"/>
      <c r="H3" s="14"/>
      <c r="I3" s="164" t="s">
        <v>139</v>
      </c>
      <c r="J3" s="179">
        <f>Beregn!A14</f>
        <v>42.65041395211432</v>
      </c>
    </row>
    <row r="4" spans="1:10" ht="19.5" thickBot="1">
      <c r="A4" s="177" t="s">
        <v>135</v>
      </c>
      <c r="B4" s="128"/>
      <c r="C4" s="129"/>
      <c r="D4" s="160"/>
      <c r="F4" s="14"/>
      <c r="G4" s="14"/>
      <c r="H4" s="14"/>
      <c r="I4" s="171" t="s">
        <v>141</v>
      </c>
      <c r="J4" s="180">
        <v>1000</v>
      </c>
    </row>
    <row r="5" spans="1:8" ht="13.5" thickBot="1">
      <c r="A5" s="149" t="s">
        <v>40</v>
      </c>
      <c r="B5" s="147">
        <v>10</v>
      </c>
      <c r="C5" s="153" t="s">
        <v>147</v>
      </c>
      <c r="F5" s="14"/>
      <c r="G5" s="14"/>
      <c r="H5" s="14"/>
    </row>
    <row r="6" spans="1:10" ht="13.5" thickBot="1">
      <c r="A6" s="127" t="s">
        <v>157</v>
      </c>
      <c r="B6" s="131">
        <v>1.1</v>
      </c>
      <c r="C6" s="151"/>
      <c r="E6" s="158"/>
      <c r="F6" s="157" t="s">
        <v>151</v>
      </c>
      <c r="G6" s="113" t="s">
        <v>129</v>
      </c>
      <c r="H6" s="114" t="s">
        <v>130</v>
      </c>
      <c r="I6" s="184" t="s">
        <v>138</v>
      </c>
      <c r="J6" s="185" t="s">
        <v>133</v>
      </c>
    </row>
    <row r="7" spans="1:10" ht="19.5" thickBot="1">
      <c r="A7" s="177" t="s">
        <v>71</v>
      </c>
      <c r="B7" s="128"/>
      <c r="C7" s="129"/>
      <c r="E7" s="112" t="s">
        <v>102</v>
      </c>
      <c r="F7" s="110" t="str">
        <f>IF(ABS((H7-B20)/H7)&lt;0.001,"OK","Beregn")</f>
        <v>OK</v>
      </c>
      <c r="G7" s="138">
        <v>19.924925374740223</v>
      </c>
      <c r="H7" s="141">
        <v>0.022262637993817308</v>
      </c>
      <c r="I7" s="181">
        <v>0.0004926488858610127</v>
      </c>
      <c r="J7" s="186">
        <v>9</v>
      </c>
    </row>
    <row r="8" spans="1:10" ht="13.5" thickBot="1">
      <c r="A8" s="148" t="s">
        <v>136</v>
      </c>
      <c r="B8" s="150">
        <v>250</v>
      </c>
      <c r="C8" s="152" t="s">
        <v>112</v>
      </c>
      <c r="E8" s="112" t="s">
        <v>110</v>
      </c>
      <c r="F8" s="110" t="str">
        <f>IF(ABS((H8-B26)/H8)&lt;0.001,"OK","Beregn")</f>
        <v>OK</v>
      </c>
      <c r="G8" s="139">
        <v>19.39671221591787</v>
      </c>
      <c r="H8" s="142">
        <v>0.038771572360861685</v>
      </c>
      <c r="I8" s="182">
        <v>0.0005636106467560896</v>
      </c>
      <c r="J8" s="187">
        <v>17</v>
      </c>
    </row>
    <row r="9" spans="4:10" ht="13.5" thickBot="1">
      <c r="D9" s="14"/>
      <c r="E9" s="125" t="s">
        <v>116</v>
      </c>
      <c r="F9" s="111" t="str">
        <f>IF(ABS((H9-B35)/H9)&lt;0.001,"OK","Beregn")</f>
        <v>OK</v>
      </c>
      <c r="G9" s="139">
        <v>21.95299792634838</v>
      </c>
      <c r="H9" s="142">
        <v>0.04909465942617316</v>
      </c>
      <c r="I9" s="182">
        <v>0.00012758522045925417</v>
      </c>
      <c r="J9" s="187">
        <v>21</v>
      </c>
    </row>
    <row r="10" spans="1:10" ht="19.5" customHeight="1" thickBot="1">
      <c r="A10" s="177" t="s">
        <v>159</v>
      </c>
      <c r="B10" s="155"/>
      <c r="C10" s="156"/>
      <c r="D10" s="14"/>
      <c r="E10" s="125" t="s">
        <v>146</v>
      </c>
      <c r="F10" s="111" t="str">
        <f>IF(ABS((H10-B43)/H10)&lt;0.001,"OK","Beregn")</f>
        <v>OK</v>
      </c>
      <c r="G10" s="140">
        <v>42.65041395211431</v>
      </c>
      <c r="H10" s="143">
        <v>0.39999999999999997</v>
      </c>
      <c r="I10" s="183">
        <v>0</v>
      </c>
      <c r="J10" s="188">
        <v>1</v>
      </c>
    </row>
    <row r="11" spans="1:4" ht="13.5" thickBot="1">
      <c r="A11" s="194" t="s">
        <v>162</v>
      </c>
      <c r="B11" s="154">
        <v>1E-06</v>
      </c>
      <c r="C11" s="97" t="s">
        <v>101</v>
      </c>
      <c r="D11" s="14"/>
    </row>
    <row r="12" spans="3:9" ht="13.5" thickBot="1">
      <c r="C12" s="14"/>
      <c r="E12" s="132" t="s">
        <v>142</v>
      </c>
      <c r="F12" s="133"/>
      <c r="G12" s="133"/>
      <c r="H12" s="134"/>
      <c r="I12" s="135"/>
    </row>
    <row r="13" spans="3:5" ht="13.5" thickBot="1">
      <c r="C13" s="14"/>
      <c r="D13" s="14"/>
      <c r="E13" s="14"/>
    </row>
    <row r="14" spans="1:8" ht="18">
      <c r="A14" s="69" t="s">
        <v>102</v>
      </c>
      <c r="B14" s="70"/>
      <c r="C14" s="71"/>
      <c r="D14" s="14"/>
      <c r="E14" s="78" t="s">
        <v>117</v>
      </c>
      <c r="F14" s="79"/>
      <c r="G14" s="79"/>
      <c r="H14" s="80"/>
    </row>
    <row r="15" spans="1:8" ht="12.75">
      <c r="A15" s="72" t="s">
        <v>137</v>
      </c>
      <c r="B15" s="176">
        <v>1</v>
      </c>
      <c r="C15" s="121" t="s">
        <v>103</v>
      </c>
      <c r="E15" s="81" t="s">
        <v>118</v>
      </c>
      <c r="F15" s="79"/>
      <c r="G15" s="82">
        <f>F_bredde*F_hojde*F_hulrum*F_laengde</f>
        <v>19.92492537474022</v>
      </c>
      <c r="H15" s="80" t="s">
        <v>119</v>
      </c>
    </row>
    <row r="16" spans="1:8" ht="12.75">
      <c r="A16" s="72" t="s">
        <v>104</v>
      </c>
      <c r="B16" s="176">
        <v>1.3</v>
      </c>
      <c r="C16" s="121" t="s">
        <v>103</v>
      </c>
      <c r="E16" s="42" t="s">
        <v>120</v>
      </c>
      <c r="F16" s="14"/>
      <c r="G16" s="83">
        <f>G15/F_hulrum</f>
        <v>20.973605657621285</v>
      </c>
      <c r="H16" s="84" t="s">
        <v>119</v>
      </c>
    </row>
    <row r="17" spans="1:8" ht="12.75">
      <c r="A17" s="72" t="s">
        <v>158</v>
      </c>
      <c r="B17" s="176">
        <v>0.95</v>
      </c>
      <c r="C17" s="121" t="s">
        <v>105</v>
      </c>
      <c r="E17" s="42" t="s">
        <v>121</v>
      </c>
      <c r="F17" s="14"/>
      <c r="G17" s="83">
        <f>G15/B8*1000</f>
        <v>79.69970149896088</v>
      </c>
      <c r="H17" s="84" t="s">
        <v>122</v>
      </c>
    </row>
    <row r="18" spans="1:8" ht="12.75">
      <c r="A18" s="73" t="s">
        <v>106</v>
      </c>
      <c r="B18" s="175">
        <v>0</v>
      </c>
      <c r="C18" s="122"/>
      <c r="E18" s="41" t="s">
        <v>123</v>
      </c>
      <c r="F18" s="14"/>
      <c r="G18" s="83">
        <f>B20*86400/B8</f>
        <v>7.697758115273918</v>
      </c>
      <c r="H18" s="84" t="s">
        <v>124</v>
      </c>
    </row>
    <row r="19" spans="1:9" ht="18">
      <c r="A19" s="74" t="s">
        <v>107</v>
      </c>
      <c r="B19" s="116">
        <f>G7/(B15*B16*B17)</f>
        <v>16.133542813554836</v>
      </c>
      <c r="C19" s="124" t="s">
        <v>103</v>
      </c>
      <c r="E19" s="41" t="s">
        <v>125</v>
      </c>
      <c r="F19" s="189">
        <f>G19/60/60</f>
        <v>248.48700197265114</v>
      </c>
      <c r="G19" s="98">
        <f>G15/(B20/1000)</f>
        <v>894553.207101544</v>
      </c>
      <c r="H19" s="84" t="s">
        <v>126</v>
      </c>
      <c r="I19" s="40"/>
    </row>
    <row r="20" spans="1:8" ht="13.5" thickBot="1">
      <c r="A20" s="75" t="s">
        <v>108</v>
      </c>
      <c r="B20" s="117">
        <f>((B19+B15)*B16+B18*B19*B15)*B11*1000</f>
        <v>0.02227360565762129</v>
      </c>
      <c r="C20" s="120" t="s">
        <v>109</v>
      </c>
      <c r="E20" s="85" t="s">
        <v>131</v>
      </c>
      <c r="F20" s="44"/>
      <c r="G20" s="86">
        <f>B20/B8*10000</f>
        <v>0.8909442263048516</v>
      </c>
      <c r="H20" s="100" t="s">
        <v>132</v>
      </c>
    </row>
    <row r="21" spans="3:10" ht="12.75">
      <c r="C21" s="14"/>
      <c r="J21" s="1"/>
    </row>
    <row r="22" ht="13.5" thickBot="1">
      <c r="C22" s="14"/>
    </row>
    <row r="23" spans="1:10" ht="18" customHeight="1">
      <c r="A23" s="69" t="s">
        <v>110</v>
      </c>
      <c r="B23" s="115"/>
      <c r="C23" s="71"/>
      <c r="E23" s="78" t="s">
        <v>127</v>
      </c>
      <c r="F23" s="79"/>
      <c r="G23" s="79"/>
      <c r="H23" s="80"/>
      <c r="J23" s="1"/>
    </row>
    <row r="24" spans="1:10" ht="12.75">
      <c r="A24" s="76" t="s">
        <v>111</v>
      </c>
      <c r="B24" s="175">
        <v>0.5</v>
      </c>
      <c r="C24" s="123" t="s">
        <v>103</v>
      </c>
      <c r="E24" s="81" t="s">
        <v>118</v>
      </c>
      <c r="F24" s="79"/>
      <c r="G24" s="82">
        <f>R_dybde*B25</f>
        <v>19.39671221591787</v>
      </c>
      <c r="H24" s="80" t="s">
        <v>119</v>
      </c>
      <c r="J24" s="1"/>
    </row>
    <row r="25" spans="1:10" ht="18">
      <c r="A25" s="74" t="s">
        <v>154</v>
      </c>
      <c r="B25" s="116">
        <f>G8/B24</f>
        <v>38.79342443183574</v>
      </c>
      <c r="C25" s="124" t="s">
        <v>112</v>
      </c>
      <c r="D25" s="170"/>
      <c r="E25" s="42" t="s">
        <v>121</v>
      </c>
      <c r="F25" s="14"/>
      <c r="G25" s="83">
        <f>G24/R_sam_opland*1000</f>
        <v>67.16466018600815</v>
      </c>
      <c r="H25" s="84" t="s">
        <v>122</v>
      </c>
      <c r="J25" s="1"/>
    </row>
    <row r="26" spans="1:8" ht="12.75">
      <c r="A26" s="168" t="s">
        <v>113</v>
      </c>
      <c r="B26" s="169">
        <f>B25*B11*1000</f>
        <v>0.03879342443183574</v>
      </c>
      <c r="C26" s="123" t="s">
        <v>109</v>
      </c>
      <c r="D26" s="2"/>
      <c r="E26" s="41" t="s">
        <v>123</v>
      </c>
      <c r="F26" s="14"/>
      <c r="G26" s="83">
        <f>B26*86400/R_sam_opland</f>
        <v>11.60605328014221</v>
      </c>
      <c r="H26" s="84" t="s">
        <v>124</v>
      </c>
    </row>
    <row r="27" spans="1:9" ht="13.5" thickBot="1">
      <c r="A27" s="165" t="s">
        <v>149</v>
      </c>
      <c r="B27" s="166">
        <f>B8+B25</f>
        <v>288.7934244318357</v>
      </c>
      <c r="C27" s="167" t="s">
        <v>112</v>
      </c>
      <c r="E27" s="41" t="s">
        <v>125</v>
      </c>
      <c r="F27" s="190">
        <f>G27/60/60</f>
        <v>138.88888888888889</v>
      </c>
      <c r="G27" s="98">
        <f>G24/(B26/1000)</f>
        <v>500000</v>
      </c>
      <c r="H27" s="84" t="s">
        <v>126</v>
      </c>
      <c r="I27" s="40"/>
    </row>
    <row r="28" spans="1:8" ht="12.75">
      <c r="A28" s="118"/>
      <c r="B28" s="14"/>
      <c r="C28" s="14"/>
      <c r="E28" s="85" t="s">
        <v>131</v>
      </c>
      <c r="F28" s="44"/>
      <c r="G28" s="86">
        <f>R_draenkapacitet/R_sam_opland*10000</f>
        <v>1.343293203720163</v>
      </c>
      <c r="H28" s="100" t="s">
        <v>132</v>
      </c>
    </row>
    <row r="29" spans="1:8" ht="12.75">
      <c r="A29" s="14"/>
      <c r="B29" s="14"/>
      <c r="C29" s="14"/>
      <c r="E29" s="118"/>
      <c r="F29" s="14"/>
      <c r="G29" s="98"/>
      <c r="H29" s="118"/>
    </row>
    <row r="30" ht="13.5" thickBot="1">
      <c r="C30" s="14"/>
    </row>
    <row r="31" spans="1:8" ht="18" customHeight="1">
      <c r="A31" s="69" t="s">
        <v>114</v>
      </c>
      <c r="B31" s="70"/>
      <c r="C31" s="71"/>
      <c r="E31" s="87" t="s">
        <v>128</v>
      </c>
      <c r="F31" s="77"/>
      <c r="G31" s="77"/>
      <c r="H31" s="88"/>
    </row>
    <row r="32" spans="1:8" ht="12.75">
      <c r="A32" s="72" t="s">
        <v>115</v>
      </c>
      <c r="B32" s="172">
        <v>2</v>
      </c>
      <c r="C32" s="121" t="s">
        <v>103</v>
      </c>
      <c r="E32" s="81" t="s">
        <v>118</v>
      </c>
      <c r="F32" s="79"/>
      <c r="G32" s="82">
        <f>0.5*B32*B33*B34</f>
        <v>21.95299792634838</v>
      </c>
      <c r="H32" s="80" t="s">
        <v>119</v>
      </c>
    </row>
    <row r="33" spans="1:8" ht="12.75">
      <c r="A33" s="76" t="s">
        <v>111</v>
      </c>
      <c r="B33" s="173">
        <v>0.5</v>
      </c>
      <c r="C33" s="122" t="s">
        <v>103</v>
      </c>
      <c r="E33" s="42" t="s">
        <v>121</v>
      </c>
      <c r="F33" s="14"/>
      <c r="G33" s="83">
        <f>G32/B36*1000</f>
        <v>64.98584557499554</v>
      </c>
      <c r="H33" s="84" t="s">
        <v>122</v>
      </c>
    </row>
    <row r="34" spans="1:8" ht="18">
      <c r="A34" s="74" t="s">
        <v>155</v>
      </c>
      <c r="B34" s="119">
        <f>G9/(0.5*B32*B33)</f>
        <v>43.90599585269676</v>
      </c>
      <c r="C34" s="124" t="s">
        <v>103</v>
      </c>
      <c r="E34" s="41" t="s">
        <v>123</v>
      </c>
      <c r="F34" s="14"/>
      <c r="G34" s="83">
        <f>G32/(G35/86400)/G_sam_opl*1000</f>
        <v>12.555023179477876</v>
      </c>
      <c r="H34" s="84" t="s">
        <v>124</v>
      </c>
    </row>
    <row r="35" spans="1:9" ht="12.75">
      <c r="A35" s="168" t="s">
        <v>108</v>
      </c>
      <c r="B35" s="169">
        <f>G32/G35*1000</f>
        <v>0.0490883956732269</v>
      </c>
      <c r="C35" s="123" t="s">
        <v>109</v>
      </c>
      <c r="E35" s="41" t="s">
        <v>125</v>
      </c>
      <c r="F35" s="190">
        <f>G35/60/60</f>
        <v>124.22599874998832</v>
      </c>
      <c r="G35" s="98">
        <f>G_bredde/(2*B11*SQRT(1+(G_bredde/(2*G_dybde))^2))</f>
        <v>447213.59549995797</v>
      </c>
      <c r="H35" s="84" t="s">
        <v>126</v>
      </c>
      <c r="I35" s="40"/>
    </row>
    <row r="36" spans="1:8" ht="13.5" thickBot="1">
      <c r="A36" s="165" t="s">
        <v>149</v>
      </c>
      <c r="B36" s="166">
        <f>B8+G_Laengde*G_bredde</f>
        <v>337.81199170539355</v>
      </c>
      <c r="C36" s="193" t="s">
        <v>112</v>
      </c>
      <c r="E36" s="85" t="s">
        <v>131</v>
      </c>
      <c r="F36" s="44"/>
      <c r="G36" s="86">
        <f>G_draenkapacitet/G_sam_opl*10000</f>
        <v>1.4531276828099393</v>
      </c>
      <c r="H36" s="100" t="s">
        <v>132</v>
      </c>
    </row>
    <row r="37" ht="12.75">
      <c r="A37" s="118"/>
    </row>
    <row r="38" ht="13.5" thickBot="1"/>
    <row r="39" spans="1:8" ht="18">
      <c r="A39" s="69" t="s">
        <v>143</v>
      </c>
      <c r="B39" s="115"/>
      <c r="C39" s="71"/>
      <c r="E39" s="87" t="s">
        <v>144</v>
      </c>
      <c r="F39" s="77"/>
      <c r="G39" s="77"/>
      <c r="H39" s="88"/>
    </row>
    <row r="40" spans="1:8" ht="12.75">
      <c r="A40" s="136" t="s">
        <v>150</v>
      </c>
      <c r="B40" s="174">
        <v>400</v>
      </c>
      <c r="C40" s="137" t="s">
        <v>112</v>
      </c>
      <c r="E40" s="42" t="s">
        <v>118</v>
      </c>
      <c r="F40" s="14"/>
      <c r="G40" s="83">
        <f>P_belaegning*B42/1000</f>
        <v>42.65041395211431</v>
      </c>
      <c r="H40" s="84" t="s">
        <v>119</v>
      </c>
    </row>
    <row r="41" spans="1:8" ht="12.75">
      <c r="A41" s="136" t="s">
        <v>156</v>
      </c>
      <c r="B41" s="174">
        <v>600</v>
      </c>
      <c r="C41" s="137" t="s">
        <v>112</v>
      </c>
      <c r="E41" s="42" t="s">
        <v>121</v>
      </c>
      <c r="F41" s="14"/>
      <c r="G41" s="83">
        <f>G40/(P_belaegning+P_tilst_areal)*1000</f>
        <v>42.65041395211431</v>
      </c>
      <c r="H41" s="84" t="s">
        <v>122</v>
      </c>
    </row>
    <row r="42" spans="1:8" ht="18">
      <c r="A42" s="74" t="s">
        <v>163</v>
      </c>
      <c r="B42" s="144">
        <v>106.62603488028579</v>
      </c>
      <c r="C42" s="124" t="s">
        <v>145</v>
      </c>
      <c r="E42" s="41" t="s">
        <v>123</v>
      </c>
      <c r="F42" s="14"/>
      <c r="G42" s="83">
        <f>G40/(G43/86400)/(P_belaegning+P_tilst_areal)*1000</f>
        <v>34.559999999999995</v>
      </c>
      <c r="H42" s="84" t="s">
        <v>124</v>
      </c>
    </row>
    <row r="43" spans="1:8" ht="13.5" thickBot="1">
      <c r="A43" s="75" t="s">
        <v>108</v>
      </c>
      <c r="B43" s="117">
        <f>B40*B11*1000</f>
        <v>0.39999999999999997</v>
      </c>
      <c r="C43" s="120" t="s">
        <v>109</v>
      </c>
      <c r="E43" s="41" t="s">
        <v>125</v>
      </c>
      <c r="F43" s="190">
        <f>G43/60/60</f>
        <v>29.61834302230161</v>
      </c>
      <c r="G43" s="98">
        <f>G40/(B43/1000)</f>
        <v>106626.03488028579</v>
      </c>
      <c r="H43" s="84" t="s">
        <v>126</v>
      </c>
    </row>
    <row r="44" spans="1:8" ht="12.75">
      <c r="A44" s="197" t="s">
        <v>164</v>
      </c>
      <c r="E44" s="85" t="s">
        <v>131</v>
      </c>
      <c r="F44" s="44"/>
      <c r="G44" s="86">
        <f>B43/(P_belaegning+P_tilst_areal)*10000</f>
        <v>3.9999999999999996</v>
      </c>
      <c r="H44" s="100" t="s">
        <v>132</v>
      </c>
    </row>
    <row r="45" spans="5:8" ht="12.75">
      <c r="E45" s="118"/>
      <c r="F45" s="14"/>
      <c r="G45" s="98"/>
      <c r="H45" s="118"/>
    </row>
    <row r="46" spans="1:9" ht="13.5" thickBot="1">
      <c r="A46" s="192"/>
      <c r="B46" s="192"/>
      <c r="C46" s="192"/>
      <c r="D46" s="192"/>
      <c r="E46" s="199"/>
      <c r="F46" s="118"/>
      <c r="G46" s="212"/>
      <c r="H46" s="118"/>
      <c r="I46" s="118"/>
    </row>
    <row r="47" spans="1:9" ht="13.5" thickBot="1">
      <c r="A47" s="202"/>
      <c r="B47" s="202"/>
      <c r="C47" s="202"/>
      <c r="D47" s="202"/>
      <c r="E47" s="202"/>
      <c r="F47" s="118"/>
      <c r="G47" s="212"/>
      <c r="H47" s="118"/>
      <c r="I47" s="118"/>
    </row>
    <row r="48" spans="6:9" ht="13.5" thickBot="1">
      <c r="F48" s="118"/>
      <c r="G48" s="118"/>
      <c r="H48" s="118"/>
      <c r="I48" s="118"/>
    </row>
    <row r="49" spans="1:9" ht="13.5" thickBot="1">
      <c r="A49" s="157" t="s">
        <v>179</v>
      </c>
      <c r="B49" s="204"/>
      <c r="C49" s="205"/>
      <c r="D49" s="205"/>
      <c r="E49" s="206"/>
      <c r="F49" s="118"/>
      <c r="G49" s="118"/>
      <c r="H49" s="118"/>
      <c r="I49" s="118"/>
    </row>
    <row r="50" spans="1:9" ht="12.75">
      <c r="A50" s="198" t="s">
        <v>167</v>
      </c>
      <c r="B50" s="195" t="s">
        <v>178</v>
      </c>
      <c r="C50" s="208" t="s">
        <v>101</v>
      </c>
      <c r="D50" s="209" t="s">
        <v>174</v>
      </c>
      <c r="E50" s="196" t="s">
        <v>165</v>
      </c>
      <c r="F50" s="118"/>
      <c r="G50" s="118"/>
      <c r="H50" s="118"/>
      <c r="I50" s="118"/>
    </row>
    <row r="51" spans="1:9" ht="12.75">
      <c r="A51" s="72" t="s">
        <v>168</v>
      </c>
      <c r="B51" s="14" t="s">
        <v>169</v>
      </c>
      <c r="C51" s="203" t="s">
        <v>101</v>
      </c>
      <c r="D51" s="210" t="s">
        <v>175</v>
      </c>
      <c r="E51" s="121" t="s">
        <v>165</v>
      </c>
      <c r="F51" s="118"/>
      <c r="G51" s="212"/>
      <c r="H51" s="118"/>
      <c r="I51" s="118"/>
    </row>
    <row r="52" spans="1:9" ht="12.75">
      <c r="A52" s="72" t="s">
        <v>166</v>
      </c>
      <c r="B52" s="14" t="s">
        <v>170</v>
      </c>
      <c r="C52" s="203" t="s">
        <v>101</v>
      </c>
      <c r="D52" s="210" t="s">
        <v>176</v>
      </c>
      <c r="E52" s="121" t="s">
        <v>165</v>
      </c>
      <c r="F52" s="118"/>
      <c r="G52" s="118"/>
      <c r="H52" s="118"/>
      <c r="I52" s="118"/>
    </row>
    <row r="53" spans="1:9" ht="12.75">
      <c r="A53" s="72" t="s">
        <v>171</v>
      </c>
      <c r="B53" s="14" t="s">
        <v>172</v>
      </c>
      <c r="C53" s="203" t="s">
        <v>101</v>
      </c>
      <c r="D53" s="210" t="s">
        <v>180</v>
      </c>
      <c r="E53" s="121" t="s">
        <v>165</v>
      </c>
      <c r="F53" s="118"/>
      <c r="G53" s="118"/>
      <c r="H53" s="118"/>
      <c r="I53" s="118"/>
    </row>
    <row r="54" spans="1:9" ht="13.5" thickBot="1">
      <c r="A54" s="191" t="s">
        <v>173</v>
      </c>
      <c r="B54" s="192" t="s">
        <v>181</v>
      </c>
      <c r="C54" s="207" t="s">
        <v>101</v>
      </c>
      <c r="D54" s="211" t="s">
        <v>177</v>
      </c>
      <c r="E54" s="120" t="s">
        <v>165</v>
      </c>
      <c r="F54" s="118"/>
      <c r="G54" s="118"/>
      <c r="H54" s="118"/>
      <c r="I54" s="118"/>
    </row>
    <row r="55" spans="1:9" ht="12.75">
      <c r="A55" s="14"/>
      <c r="B55" s="14"/>
      <c r="C55" s="14"/>
      <c r="D55" s="14"/>
      <c r="E55" s="14"/>
      <c r="F55" s="118"/>
      <c r="G55" s="118"/>
      <c r="H55" s="201"/>
      <c r="I55" s="118"/>
    </row>
    <row r="56" spans="6:9" ht="12.75">
      <c r="F56" s="118"/>
      <c r="G56" s="118"/>
      <c r="H56" s="118"/>
      <c r="I56" s="118"/>
    </row>
    <row r="57" spans="6:9" ht="12.75">
      <c r="F57" s="118"/>
      <c r="G57" s="118"/>
      <c r="H57" s="118"/>
      <c r="I57" s="118"/>
    </row>
    <row r="58" spans="6:9" ht="12.75">
      <c r="F58" s="118"/>
      <c r="G58" s="118"/>
      <c r="H58" s="118"/>
      <c r="I58" s="118"/>
    </row>
    <row r="59" spans="6:9" ht="12.75">
      <c r="F59" s="2"/>
      <c r="H59" s="118"/>
      <c r="I59" s="118"/>
    </row>
    <row r="60" spans="8:9" ht="12.75">
      <c r="H60" s="118"/>
      <c r="I60" s="118"/>
    </row>
    <row r="61" spans="8:9" ht="12.75">
      <c r="H61" s="118"/>
      <c r="I61" s="118"/>
    </row>
    <row r="62" spans="8:9" ht="12.75">
      <c r="H62" s="118"/>
      <c r="I62" s="118"/>
    </row>
    <row r="63" spans="8:9" ht="12.75">
      <c r="H63" s="118"/>
      <c r="I63" s="118"/>
    </row>
    <row r="64" spans="8:9" ht="12.75">
      <c r="H64" s="118"/>
      <c r="I64" s="118"/>
    </row>
    <row r="84" spans="1:8" ht="12.75">
      <c r="A84" t="s">
        <v>161</v>
      </c>
      <c r="H84" s="118"/>
    </row>
    <row r="85" ht="13.5" thickBot="1">
      <c r="H85" s="118"/>
    </row>
    <row r="86" spans="1:8" ht="13.5" thickBot="1">
      <c r="A86" s="200"/>
      <c r="B86" s="200"/>
      <c r="C86" s="200"/>
      <c r="D86" s="200"/>
      <c r="E86" s="200"/>
      <c r="F86" s="118"/>
      <c r="G86" s="118"/>
      <c r="H86" s="118"/>
    </row>
    <row r="87" ht="12.75">
      <c r="H87" s="118"/>
    </row>
  </sheetData>
  <sheetProtection sheet="1" objects="1" scenarios="1"/>
  <conditionalFormatting sqref="F7:F10">
    <cfRule type="cellIs" priority="3" dxfId="1" operator="equal" stopIfTrue="1">
      <formula>"OK"</formula>
    </cfRule>
    <cfRule type="cellIs" priority="4" dxfId="0" operator="notEqual" stopIfTrue="1">
      <formula>"OK"</formula>
    </cfRule>
  </conditionalFormatting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AC95"/>
  <sheetViews>
    <sheetView zoomScale="90" zoomScaleNormal="90" zoomScalePageLayoutView="0" workbookViewId="0" topLeftCell="A1">
      <selection activeCell="E46" sqref="E46"/>
    </sheetView>
  </sheetViews>
  <sheetFormatPr defaultColWidth="9.140625" defaultRowHeight="12.75"/>
  <cols>
    <col min="1" max="1" width="27.7109375" style="0" customWidth="1"/>
    <col min="2" max="2" width="10.421875" style="0" bestFit="1" customWidth="1"/>
    <col min="3" max="3" width="18.00390625" style="0" bestFit="1" customWidth="1"/>
    <col min="4" max="4" width="20.421875" style="0" customWidth="1"/>
    <col min="5" max="5" width="11.57421875" style="0" customWidth="1"/>
    <col min="6" max="6" width="1.8515625" style="0" customWidth="1"/>
    <col min="7" max="7" width="18.00390625" style="0" customWidth="1"/>
    <col min="8" max="8" width="12.8515625" style="0" customWidth="1"/>
    <col min="9" max="9" width="14.28125" style="0" customWidth="1"/>
    <col min="10" max="10" width="12.8515625" style="0" customWidth="1"/>
    <col min="11" max="11" width="12.00390625" style="0" customWidth="1"/>
    <col min="12" max="12" width="27.28125" style="0" customWidth="1"/>
    <col min="13" max="14" width="9.421875" style="0" bestFit="1" customWidth="1"/>
    <col min="15" max="15" width="9.421875" style="0" customWidth="1"/>
    <col min="16" max="16" width="12.28125" style="0" customWidth="1"/>
    <col min="17" max="17" width="10.00390625" style="0" bestFit="1" customWidth="1"/>
    <col min="18" max="18" width="12.57421875" style="0" customWidth="1"/>
    <col min="19" max="19" width="14.421875" style="0" customWidth="1"/>
    <col min="20" max="20" width="12.421875" style="0" bestFit="1" customWidth="1"/>
    <col min="21" max="21" width="14.421875" style="0" bestFit="1" customWidth="1"/>
    <col min="22" max="24" width="9.8515625" style="0" bestFit="1" customWidth="1"/>
    <col min="25" max="25" width="12.421875" style="0" bestFit="1" customWidth="1"/>
    <col min="26" max="27" width="9.421875" style="0" bestFit="1" customWidth="1"/>
    <col min="28" max="30" width="12.421875" style="0" bestFit="1" customWidth="1"/>
    <col min="31" max="31" width="9.28125" style="0" bestFit="1" customWidth="1"/>
    <col min="32" max="32" width="12.7109375" style="0" bestFit="1" customWidth="1"/>
  </cols>
  <sheetData>
    <row r="1" ht="13.5" thickBot="1"/>
    <row r="2" spans="1:15" ht="18">
      <c r="A2" s="18" t="s">
        <v>55</v>
      </c>
      <c r="B2" s="19"/>
      <c r="C2" s="19"/>
      <c r="D2" s="19"/>
      <c r="E2" s="19"/>
      <c r="F2" s="20"/>
      <c r="G2" s="63" t="s">
        <v>85</v>
      </c>
      <c r="H2" s="19"/>
      <c r="I2" s="19"/>
      <c r="J2" s="19"/>
      <c r="K2" s="64"/>
      <c r="M2" s="8" t="s">
        <v>48</v>
      </c>
      <c r="N2" s="9"/>
      <c r="O2" s="9"/>
    </row>
    <row r="3" spans="1:15" ht="19.5" thickBot="1">
      <c r="A3" s="95"/>
      <c r="B3" s="26"/>
      <c r="C3" s="26"/>
      <c r="D3" s="26"/>
      <c r="E3" s="26"/>
      <c r="F3" s="26"/>
      <c r="G3" s="96" t="s">
        <v>71</v>
      </c>
      <c r="H3" s="26"/>
      <c r="I3" s="26"/>
      <c r="J3" s="26"/>
      <c r="K3" s="97"/>
      <c r="M3" s="8"/>
      <c r="N3" s="9"/>
      <c r="O3" s="9"/>
    </row>
    <row r="4" spans="1:13" ht="12.75">
      <c r="A4" s="101" t="s">
        <v>37</v>
      </c>
      <c r="B4" s="102">
        <f>'Input og resultat'!B2</f>
        <v>650</v>
      </c>
      <c r="C4" s="103" t="str">
        <f>IF(OR(B4&lt;500,B4&gt;900)," Fejl: Indtast ÅMN i intervallet 500 - 900 mm"," ")</f>
        <v> </v>
      </c>
      <c r="D4" s="21"/>
      <c r="E4" s="21"/>
      <c r="F4" s="103"/>
      <c r="G4" s="104" t="s">
        <v>76</v>
      </c>
      <c r="H4" s="105"/>
      <c r="I4" s="105"/>
      <c r="J4" s="105"/>
      <c r="K4" s="106">
        <f>'Input og resultat'!J4/10000</f>
        <v>0.1</v>
      </c>
      <c r="M4" t="s">
        <v>73</v>
      </c>
    </row>
    <row r="5" spans="1:14" ht="12.75">
      <c r="A5" s="65" t="s">
        <v>32</v>
      </c>
      <c r="B5" s="27">
        <f>'Input og resultat'!B3</f>
        <v>2</v>
      </c>
      <c r="C5" s="24" t="str">
        <f>IF(OR(B5=1,B5=2)," "," Fejl: Indtast 1 eller 2")</f>
        <v> </v>
      </c>
      <c r="D5" s="21"/>
      <c r="E5" s="21"/>
      <c r="F5" s="24"/>
      <c r="G5" s="28" t="s">
        <v>77</v>
      </c>
      <c r="H5" s="29"/>
      <c r="I5" s="29"/>
      <c r="J5" s="29"/>
      <c r="K5" s="89">
        <v>1</v>
      </c>
      <c r="M5" t="s">
        <v>43</v>
      </c>
      <c r="N5">
        <f>EXP(Q22/11+N7*P22/11)</f>
        <v>119.7926539359956</v>
      </c>
    </row>
    <row r="6" spans="1:14" ht="12.75">
      <c r="A6" s="23" t="s">
        <v>69</v>
      </c>
      <c r="B6" s="21"/>
      <c r="C6" s="21"/>
      <c r="D6" s="21"/>
      <c r="E6" s="21"/>
      <c r="F6" s="24"/>
      <c r="G6" s="28" t="s">
        <v>72</v>
      </c>
      <c r="H6" s="29"/>
      <c r="I6" s="29"/>
      <c r="J6" s="29"/>
      <c r="K6" s="99">
        <f>'Input og resultat'!J2</f>
        <v>0.39999999999999997</v>
      </c>
      <c r="M6" t="s">
        <v>44</v>
      </c>
      <c r="N6">
        <v>2.686906433276077</v>
      </c>
    </row>
    <row r="7" spans="1:14" ht="12.75">
      <c r="A7" s="23" t="s">
        <v>70</v>
      </c>
      <c r="B7" s="21"/>
      <c r="C7" s="21"/>
      <c r="D7" s="21"/>
      <c r="E7" s="21"/>
      <c r="F7" s="21"/>
      <c r="G7" s="21"/>
      <c r="H7" s="21"/>
      <c r="I7" s="21"/>
      <c r="J7" s="21"/>
      <c r="K7" s="22"/>
      <c r="M7" t="s">
        <v>45</v>
      </c>
      <c r="N7">
        <f>-(S22-P22*Q22/11)/(R22-P22^2/11)</f>
        <v>0.69487935978575</v>
      </c>
    </row>
    <row r="8" spans="1:11" ht="12.75">
      <c r="A8" s="66" t="s">
        <v>40</v>
      </c>
      <c r="B8" s="27">
        <f>'Input og resultat'!B5</f>
        <v>10</v>
      </c>
      <c r="C8" s="24" t="str">
        <f>IF(B8&lt;1/help1!C11,CONCATENATE(" Fejl: Indtast gentagelsesperiode &gt; ",ROUND(1/help1!C11,2)," år")," ")</f>
        <v> </v>
      </c>
      <c r="D8" s="67" t="s">
        <v>134</v>
      </c>
      <c r="E8" s="21"/>
      <c r="F8" s="21"/>
      <c r="G8" s="67"/>
      <c r="H8" s="67"/>
      <c r="I8" s="67"/>
      <c r="J8" s="67"/>
      <c r="K8" s="107"/>
    </row>
    <row r="9" spans="1:23" ht="12.75">
      <c r="A9" s="66" t="s">
        <v>75</v>
      </c>
      <c r="B9" s="30">
        <f>'Input og resultat'!B6</f>
        <v>1.1</v>
      </c>
      <c r="C9" s="21"/>
      <c r="D9" s="67" t="s">
        <v>82</v>
      </c>
      <c r="E9" s="21"/>
      <c r="F9" s="21"/>
      <c r="G9" s="67"/>
      <c r="H9" s="67"/>
      <c r="I9" s="67"/>
      <c r="J9" s="67"/>
      <c r="K9" s="107"/>
      <c r="M9" s="16" t="s">
        <v>42</v>
      </c>
      <c r="N9" s="16" t="s">
        <v>41</v>
      </c>
      <c r="O9" s="16" t="s">
        <v>46</v>
      </c>
      <c r="P9" s="16" t="s">
        <v>57</v>
      </c>
      <c r="Q9" s="16" t="s">
        <v>47</v>
      </c>
      <c r="R9" s="16" t="s">
        <v>58</v>
      </c>
      <c r="S9" s="16" t="s">
        <v>59</v>
      </c>
      <c r="T9" s="16" t="s">
        <v>65</v>
      </c>
      <c r="U9" s="16" t="s">
        <v>66</v>
      </c>
      <c r="W9" s="16"/>
    </row>
    <row r="10" spans="1:21" ht="12.75">
      <c r="A10" s="39" t="s">
        <v>100</v>
      </c>
      <c r="B10" s="21"/>
      <c r="C10" s="21"/>
      <c r="D10" s="21"/>
      <c r="E10" s="21"/>
      <c r="F10" s="21"/>
      <c r="G10" s="68"/>
      <c r="H10" s="67"/>
      <c r="I10" s="67"/>
      <c r="J10" s="67"/>
      <c r="K10" s="107"/>
      <c r="M10">
        <f>Beregn!A25</f>
        <v>1</v>
      </c>
      <c r="N10" s="11">
        <f>Beregn!C25</f>
        <v>44.22889343249171</v>
      </c>
      <c r="O10">
        <f>LN(M10)</f>
        <v>0</v>
      </c>
      <c r="P10">
        <f aca="true" t="shared" si="0" ref="P10:P20">LN(M10+$N$6)</f>
        <v>1.304787741462155</v>
      </c>
      <c r="Q10">
        <f aca="true" t="shared" si="1" ref="Q10:Q20">LN(N10)</f>
        <v>3.7893782730841505</v>
      </c>
      <c r="R10">
        <f aca="true" t="shared" si="2" ref="R10:R20">P10^2</f>
        <v>1.7024710502699112</v>
      </c>
      <c r="S10">
        <f aca="true" t="shared" si="3" ref="S10:S20">P10*Q10</f>
        <v>4.94433431848323</v>
      </c>
      <c r="T10" s="2">
        <f aca="true" t="shared" si="4" ref="T10:T20">$N$5*(M10+$N$6)^(-$N$7)</f>
        <v>48.38028006183242</v>
      </c>
      <c r="U10">
        <f>(LN(N10)-LN(T10))^2</f>
        <v>0.008048605541476553</v>
      </c>
    </row>
    <row r="11" spans="1:21" ht="16.5" thickBot="1">
      <c r="A11" s="90" t="s">
        <v>99</v>
      </c>
      <c r="B11" s="25"/>
      <c r="C11" s="91"/>
      <c r="D11" s="26"/>
      <c r="E11" s="26"/>
      <c r="F11" s="26"/>
      <c r="G11" s="92"/>
      <c r="H11" s="108"/>
      <c r="I11" s="108"/>
      <c r="J11" s="108"/>
      <c r="K11" s="109"/>
      <c r="M11">
        <f>Beregn!A26</f>
        <v>2</v>
      </c>
      <c r="N11" s="11">
        <f>Beregn!C26</f>
        <v>38.79193254747058</v>
      </c>
      <c r="O11">
        <f aca="true" t="shared" si="5" ref="O11:O20">LN(M11)</f>
        <v>0.6931471805599453</v>
      </c>
      <c r="P11">
        <f t="shared" si="0"/>
        <v>1.5447727557108115</v>
      </c>
      <c r="Q11">
        <f t="shared" si="1"/>
        <v>3.6582123009757654</v>
      </c>
      <c r="R11">
        <f t="shared" si="2"/>
        <v>2.3863228667863745</v>
      </c>
      <c r="S11">
        <f t="shared" si="3"/>
        <v>5.651106697153522</v>
      </c>
      <c r="T11" s="2">
        <f t="shared" si="4"/>
        <v>40.949174890396144</v>
      </c>
      <c r="U11">
        <f aca="true" t="shared" si="6" ref="U11:U20">(LN(N11)-LN(T11))^2</f>
        <v>0.0029289051185444706</v>
      </c>
    </row>
    <row r="12" spans="13:21" ht="13.5" thickBot="1">
      <c r="M12">
        <f>Beregn!A27</f>
        <v>5</v>
      </c>
      <c r="N12" s="11">
        <f>Beregn!C27</f>
        <v>29.461147494114773</v>
      </c>
      <c r="O12">
        <f t="shared" si="5"/>
        <v>1.6094379124341003</v>
      </c>
      <c r="P12">
        <f t="shared" si="0"/>
        <v>2.0395184182200743</v>
      </c>
      <c r="Q12">
        <f t="shared" si="1"/>
        <v>3.3830723611963096</v>
      </c>
      <c r="R12">
        <f t="shared" si="2"/>
        <v>4.159635378258914</v>
      </c>
      <c r="S12">
        <f t="shared" si="3"/>
        <v>6.89983839083115</v>
      </c>
      <c r="T12" s="2">
        <f t="shared" si="4"/>
        <v>29.036193736259865</v>
      </c>
      <c r="U12">
        <f t="shared" si="6"/>
        <v>0.0002110990915597245</v>
      </c>
    </row>
    <row r="13" spans="1:21" ht="18">
      <c r="A13" s="31" t="s">
        <v>84</v>
      </c>
      <c r="B13" s="93"/>
      <c r="C13" s="32"/>
      <c r="D13" s="33"/>
      <c r="F13" s="14"/>
      <c r="G13" s="45" t="s">
        <v>74</v>
      </c>
      <c r="H13" s="46"/>
      <c r="I13" s="46"/>
      <c r="J13" s="46"/>
      <c r="K13" s="47"/>
      <c r="M13">
        <f>Beregn!A28</f>
        <v>10</v>
      </c>
      <c r="N13" s="11">
        <f>Beregn!C28</f>
        <v>21.848326324130515</v>
      </c>
      <c r="O13">
        <f t="shared" si="5"/>
        <v>2.302585092994046</v>
      </c>
      <c r="P13">
        <f t="shared" si="0"/>
        <v>2.5405704721234685</v>
      </c>
      <c r="Q13">
        <f t="shared" si="1"/>
        <v>3.0841243201698263</v>
      </c>
      <c r="R13">
        <f t="shared" si="2"/>
        <v>6.454498323825664</v>
      </c>
      <c r="S13">
        <f t="shared" si="3"/>
        <v>7.835435180181327</v>
      </c>
      <c r="T13" s="2">
        <f t="shared" si="4"/>
        <v>20.498923677767472</v>
      </c>
      <c r="U13">
        <f t="shared" si="6"/>
        <v>0.004064309716997864</v>
      </c>
    </row>
    <row r="14" spans="1:21" ht="12.75">
      <c r="A14" s="126">
        <f>K14*K17*10*1.2</f>
        <v>42.65041395211432</v>
      </c>
      <c r="B14" s="94" t="s">
        <v>83</v>
      </c>
      <c r="C14" s="35"/>
      <c r="D14" s="36"/>
      <c r="G14" s="41" t="s">
        <v>78</v>
      </c>
      <c r="H14" s="14"/>
      <c r="I14" s="14"/>
      <c r="J14" s="14"/>
      <c r="K14" s="53">
        <f>K4*K5</f>
        <v>0.1</v>
      </c>
      <c r="M14">
        <f>Beregn!A29</f>
        <v>30</v>
      </c>
      <c r="N14" s="11">
        <f>Beregn!C29</f>
        <v>11.462911075835084</v>
      </c>
      <c r="O14">
        <f t="shared" si="5"/>
        <v>3.4011973816621555</v>
      </c>
      <c r="P14">
        <f t="shared" si="0"/>
        <v>3.486974582831238</v>
      </c>
      <c r="Q14">
        <f t="shared" si="1"/>
        <v>2.4391166996078066</v>
      </c>
      <c r="R14">
        <f t="shared" si="2"/>
        <v>12.158991741311086</v>
      </c>
      <c r="S14">
        <f t="shared" si="3"/>
        <v>8.505137936091637</v>
      </c>
      <c r="T14" s="2">
        <f t="shared" si="4"/>
        <v>10.619964772259497</v>
      </c>
      <c r="U14">
        <f t="shared" si="6"/>
        <v>0.005834057300404059</v>
      </c>
    </row>
    <row r="15" spans="1:21" ht="12.75">
      <c r="A15" s="61" t="s">
        <v>95</v>
      </c>
      <c r="B15" s="35"/>
      <c r="C15" s="56"/>
      <c r="D15" s="36"/>
      <c r="G15" s="42" t="s">
        <v>79</v>
      </c>
      <c r="H15" s="14"/>
      <c r="I15" s="14"/>
      <c r="J15" s="14"/>
      <c r="K15" s="53">
        <f>K6/(K14*10)</f>
        <v>0.39999999999999997</v>
      </c>
      <c r="M15">
        <f>Beregn!A30</f>
        <v>60</v>
      </c>
      <c r="N15" s="11">
        <f>Beregn!C30</f>
        <v>7.014804975019642</v>
      </c>
      <c r="O15">
        <f t="shared" si="5"/>
        <v>4.0943445622221</v>
      </c>
      <c r="P15">
        <f t="shared" si="0"/>
        <v>4.138152597015728</v>
      </c>
      <c r="Q15">
        <f t="shared" si="1"/>
        <v>1.948022912030352</v>
      </c>
      <c r="R15">
        <f t="shared" si="2"/>
        <v>17.124306916188015</v>
      </c>
      <c r="S15">
        <f t="shared" si="3"/>
        <v>8.061216072464543</v>
      </c>
      <c r="T15" s="2">
        <f t="shared" si="4"/>
        <v>6.754747135901414</v>
      </c>
      <c r="U15">
        <f t="shared" si="6"/>
        <v>0.001427130057219613</v>
      </c>
    </row>
    <row r="16" spans="1:21" ht="12.75">
      <c r="A16" s="61" t="s">
        <v>94</v>
      </c>
      <c r="B16" s="35"/>
      <c r="C16" s="35"/>
      <c r="D16" s="36"/>
      <c r="G16" s="42" t="s">
        <v>81</v>
      </c>
      <c r="H16" s="14"/>
      <c r="I16" s="14"/>
      <c r="J16" s="14"/>
      <c r="K16" s="54">
        <f>O29</f>
        <v>10.272433249942306</v>
      </c>
      <c r="L16" s="14"/>
      <c r="M16">
        <f>Beregn!A31</f>
        <v>180</v>
      </c>
      <c r="N16" s="11">
        <f>Beregn!C31</f>
        <v>3.2371420743438724</v>
      </c>
      <c r="O16">
        <f t="shared" si="5"/>
        <v>5.19295685089021</v>
      </c>
      <c r="P16">
        <f t="shared" si="0"/>
        <v>5.20777379378388</v>
      </c>
      <c r="Q16">
        <f t="shared" si="1"/>
        <v>1.1746908647266494</v>
      </c>
      <c r="R16">
        <f t="shared" si="2"/>
        <v>27.120907887222145</v>
      </c>
      <c r="S16">
        <f t="shared" si="3"/>
        <v>6.11752430112077</v>
      </c>
      <c r="T16" s="2">
        <f t="shared" si="4"/>
        <v>3.2123020982579877</v>
      </c>
      <c r="U16">
        <f t="shared" si="6"/>
        <v>5.9336518013881026E-05</v>
      </c>
    </row>
    <row r="17" spans="1:21" ht="12.75">
      <c r="A17" s="61" t="s">
        <v>98</v>
      </c>
      <c r="B17" s="48"/>
      <c r="C17" s="48"/>
      <c r="D17" s="49"/>
      <c r="G17" s="43" t="s">
        <v>80</v>
      </c>
      <c r="H17" s="44"/>
      <c r="I17" s="44"/>
      <c r="J17" s="44"/>
      <c r="K17" s="55">
        <f>N33</f>
        <v>35.54201162676193</v>
      </c>
      <c r="L17" s="14"/>
      <c r="M17">
        <f>Beregn!A32</f>
        <v>360</v>
      </c>
      <c r="N17" s="11">
        <f>Beregn!C32</f>
        <v>2.0435083772766256</v>
      </c>
      <c r="O17">
        <f t="shared" si="5"/>
        <v>5.886104031450156</v>
      </c>
      <c r="P17">
        <f t="shared" si="0"/>
        <v>5.893539945370549</v>
      </c>
      <c r="Q17">
        <f t="shared" si="1"/>
        <v>0.7146681234885294</v>
      </c>
      <c r="R17">
        <f t="shared" si="2"/>
        <v>34.733813087678286</v>
      </c>
      <c r="S17">
        <f t="shared" si="3"/>
        <v>4.2119251334626595</v>
      </c>
      <c r="T17" s="2">
        <f t="shared" si="4"/>
        <v>1.994639037308436</v>
      </c>
      <c r="U17">
        <f t="shared" si="6"/>
        <v>0.0005858831479749356</v>
      </c>
    </row>
    <row r="18" spans="1:21" ht="13.5" thickBot="1">
      <c r="A18" s="62" t="s">
        <v>97</v>
      </c>
      <c r="B18" s="50"/>
      <c r="C18" s="50"/>
      <c r="D18" s="51"/>
      <c r="L18" s="14"/>
      <c r="M18">
        <f>Beregn!A33</f>
        <v>720</v>
      </c>
      <c r="N18" s="11">
        <f>Beregn!C33</f>
        <v>1.209365109340693</v>
      </c>
      <c r="O18">
        <f t="shared" si="5"/>
        <v>6.579251212010101</v>
      </c>
      <c r="P18">
        <f t="shared" si="0"/>
        <v>6.582976080556353</v>
      </c>
      <c r="Q18">
        <f t="shared" si="1"/>
        <v>0.1900955188796257</v>
      </c>
      <c r="R18">
        <f t="shared" si="2"/>
        <v>43.335574077177085</v>
      </c>
      <c r="S18">
        <f t="shared" si="3"/>
        <v>1.2513942538055245</v>
      </c>
      <c r="T18" s="2">
        <f t="shared" si="4"/>
        <v>1.2353917917586676</v>
      </c>
      <c r="U18">
        <f t="shared" si="6"/>
        <v>0.0004533765684488919</v>
      </c>
    </row>
    <row r="19" spans="12:21" ht="12.75">
      <c r="L19" s="14"/>
      <c r="M19">
        <f>Beregn!A34</f>
        <v>1440</v>
      </c>
      <c r="N19" s="11">
        <f>Beregn!C34</f>
        <v>0.7471555567757212</v>
      </c>
      <c r="O19">
        <f t="shared" si="5"/>
        <v>7.272398392570047</v>
      </c>
      <c r="P19">
        <f t="shared" si="0"/>
        <v>7.274262561172881</v>
      </c>
      <c r="Q19">
        <f t="shared" si="1"/>
        <v>-0.29148187352637167</v>
      </c>
      <c r="R19">
        <f t="shared" si="2"/>
        <v>52.91489580888144</v>
      </c>
      <c r="S19">
        <f t="shared" si="3"/>
        <v>-2.120315679853414</v>
      </c>
      <c r="T19" s="2">
        <f t="shared" si="4"/>
        <v>0.7641642339463894</v>
      </c>
      <c r="U19">
        <f t="shared" si="6"/>
        <v>0.0005066697798128021</v>
      </c>
    </row>
    <row r="20" spans="13:21" ht="13.5" customHeight="1" thickBot="1">
      <c r="M20">
        <f>Beregn!A35</f>
        <v>2880</v>
      </c>
      <c r="N20" s="11">
        <f>Beregn!C35</f>
        <v>0.45534901376437203</v>
      </c>
      <c r="O20">
        <f t="shared" si="5"/>
        <v>7.965545573129992</v>
      </c>
      <c r="P20">
        <f t="shared" si="0"/>
        <v>7.9664780918219185</v>
      </c>
      <c r="Q20">
        <f t="shared" si="1"/>
        <v>-0.7866910908554204</v>
      </c>
      <c r="R20">
        <f t="shared" si="2"/>
        <v>63.46477318747859</v>
      </c>
      <c r="S20">
        <f t="shared" si="3"/>
        <v>-6.2671573403311935</v>
      </c>
      <c r="T20" s="2">
        <f t="shared" si="4"/>
        <v>0.47237655200113143</v>
      </c>
      <c r="U20">
        <f t="shared" si="6"/>
        <v>0.0013477899656707617</v>
      </c>
    </row>
    <row r="21" spans="1:20" ht="13.5" customHeight="1">
      <c r="A21" s="31" t="s">
        <v>56</v>
      </c>
      <c r="B21" s="32"/>
      <c r="C21" s="32"/>
      <c r="D21" s="33"/>
      <c r="M21" s="10"/>
      <c r="N21" s="11"/>
      <c r="O21" s="11"/>
      <c r="T21" s="2"/>
    </row>
    <row r="22" spans="1:29" ht="13.5" customHeight="1">
      <c r="A22" s="34"/>
      <c r="B22" s="35"/>
      <c r="C22" s="35"/>
      <c r="D22" s="36"/>
      <c r="M22" s="12"/>
      <c r="N22" t="s">
        <v>64</v>
      </c>
      <c r="P22">
        <f>SUM(P10:P20)</f>
        <v>47.97980704006906</v>
      </c>
      <c r="Q22">
        <f>SUM(Q10:Q20)</f>
        <v>19.303208409777223</v>
      </c>
      <c r="R22">
        <f>SUM(R10:R20)</f>
        <v>265.5561903250775</v>
      </c>
      <c r="S22">
        <f>SUM(S10:S20)</f>
        <v>45.09043926340975</v>
      </c>
      <c r="U22" s="17">
        <f>SUM(U10:U20)</f>
        <v>0.025467162806123555</v>
      </c>
      <c r="AC22" s="38"/>
    </row>
    <row r="23" spans="1:21" ht="15.75">
      <c r="A23" s="34" t="s">
        <v>49</v>
      </c>
      <c r="B23" s="35" t="s">
        <v>53</v>
      </c>
      <c r="C23" s="56" t="s">
        <v>93</v>
      </c>
      <c r="D23" s="36" t="s">
        <v>48</v>
      </c>
      <c r="M23" s="12"/>
      <c r="N23" s="12"/>
      <c r="O23" s="12"/>
      <c r="S23" s="14"/>
      <c r="T23" s="14"/>
      <c r="U23" s="14"/>
    </row>
    <row r="24" spans="1:15" ht="12.75">
      <c r="A24" s="34" t="s">
        <v>51</v>
      </c>
      <c r="B24" s="35" t="s">
        <v>52</v>
      </c>
      <c r="C24" s="35" t="s">
        <v>52</v>
      </c>
      <c r="D24" s="36" t="s">
        <v>52</v>
      </c>
      <c r="M24" s="15"/>
      <c r="N24" s="12"/>
      <c r="O24" s="12"/>
    </row>
    <row r="25" spans="1:15" ht="12.75">
      <c r="A25" s="34">
        <v>1</v>
      </c>
      <c r="B25" s="48">
        <f>help1!B17</f>
        <v>40.20808493862882</v>
      </c>
      <c r="C25" s="48">
        <f aca="true" t="shared" si="7" ref="C25:C35">$B$9*B25</f>
        <v>44.22889343249171</v>
      </c>
      <c r="D25" s="49">
        <f>Beregn!$N$5*(A25+Beregn!$N$6)^(-Beregn!$N$7)</f>
        <v>48.38028006183242</v>
      </c>
      <c r="M25" s="57" t="s">
        <v>96</v>
      </c>
      <c r="N25" s="14"/>
      <c r="O25" s="14"/>
    </row>
    <row r="26" spans="1:20" ht="12.75">
      <c r="A26" s="34">
        <v>2</v>
      </c>
      <c r="B26" s="48">
        <f>help1!B18</f>
        <v>35.26539322497325</v>
      </c>
      <c r="C26" s="48">
        <f t="shared" si="7"/>
        <v>38.79193254747058</v>
      </c>
      <c r="D26" s="49">
        <f>Beregn!$N$5*(A26+Beregn!$N$6)^(-Beregn!$N$7)</f>
        <v>40.949174890396144</v>
      </c>
      <c r="M26" s="52"/>
      <c r="N26" s="52"/>
      <c r="O26" s="14"/>
      <c r="Q26" s="4"/>
      <c r="R26" s="3"/>
      <c r="S26" s="40"/>
      <c r="T26" s="40"/>
    </row>
    <row r="27" spans="1:14" ht="12.75">
      <c r="A27" s="34">
        <v>5</v>
      </c>
      <c r="B27" s="48">
        <f>help1!B19</f>
        <v>26.782861358286155</v>
      </c>
      <c r="C27" s="48">
        <f t="shared" si="7"/>
        <v>29.461147494114773</v>
      </c>
      <c r="D27" s="49">
        <f>Beregn!$N$5*(A27+Beregn!$N$6)^(-Beregn!$N$7)</f>
        <v>29.036193736259865</v>
      </c>
      <c r="M27" s="58" t="s">
        <v>86</v>
      </c>
      <c r="N27" s="4">
        <f>-INDEX(LINEST(Q14:Q20,O14:O20),1)</f>
        <v>0.7061189025615312</v>
      </c>
    </row>
    <row r="28" spans="1:14" ht="12.75">
      <c r="A28" s="34">
        <v>10</v>
      </c>
      <c r="B28" s="48">
        <f>help1!B20</f>
        <v>19.862114840118647</v>
      </c>
      <c r="C28" s="48">
        <f t="shared" si="7"/>
        <v>21.848326324130515</v>
      </c>
      <c r="D28" s="49">
        <f>Beregn!$N$5*(A28+Beregn!$N$6)^(-Beregn!$N$7)</f>
        <v>20.498923677767472</v>
      </c>
      <c r="M28" s="58" t="s">
        <v>87</v>
      </c>
      <c r="N28" s="4">
        <f>EXP(INDEX(LINEST(Q14:Q20,O14:O20),2))</f>
        <v>127.00950046635282</v>
      </c>
    </row>
    <row r="29" spans="1:15" ht="12.75">
      <c r="A29" s="34">
        <v>30</v>
      </c>
      <c r="B29" s="48">
        <f>help1!B21</f>
        <v>10.420828250759167</v>
      </c>
      <c r="C29" s="48">
        <f t="shared" si="7"/>
        <v>11.462911075835084</v>
      </c>
      <c r="D29" s="49">
        <f>Beregn!$N$5*(A29+Beregn!$N$6)^(-Beregn!$N$7)</f>
        <v>10.619964772259497</v>
      </c>
      <c r="M29" s="58" t="s">
        <v>89</v>
      </c>
      <c r="N29" s="40">
        <f>(N28*(1-N27)/K15)^(1/N27)</f>
        <v>616.3459949965384</v>
      </c>
      <c r="O29">
        <f>N29/60</f>
        <v>10.272433249942306</v>
      </c>
    </row>
    <row r="30" spans="1:14" ht="12.75">
      <c r="A30" s="34">
        <v>60</v>
      </c>
      <c r="B30" s="48">
        <f>help1!B22</f>
        <v>6.377095431836038</v>
      </c>
      <c r="C30" s="48">
        <f t="shared" si="7"/>
        <v>7.014804975019642</v>
      </c>
      <c r="D30" s="49">
        <f>Beregn!$N$5*(A30+Beregn!$N$6)^(-Beregn!$N$7)</f>
        <v>6.754747135901414</v>
      </c>
      <c r="M30" s="60" t="s">
        <v>90</v>
      </c>
      <c r="N30">
        <f>N28*N29^-N27</f>
        <v>1.3610946858661086</v>
      </c>
    </row>
    <row r="31" spans="1:4" ht="12.75">
      <c r="A31" s="34">
        <v>180</v>
      </c>
      <c r="B31" s="48">
        <f>help1!B23</f>
        <v>2.942856431221702</v>
      </c>
      <c r="C31" s="48">
        <f t="shared" si="7"/>
        <v>3.2371420743438724</v>
      </c>
      <c r="D31" s="49">
        <f>Beregn!$N$5*(A31+Beregn!$N$6)^(-Beregn!$N$7)</f>
        <v>3.2123020982579877</v>
      </c>
    </row>
    <row r="32" spans="1:15" ht="12.75">
      <c r="A32" s="34">
        <v>360</v>
      </c>
      <c r="B32" s="48">
        <f>help1!B24</f>
        <v>1.8577348884332958</v>
      </c>
      <c r="C32" s="48">
        <f t="shared" si="7"/>
        <v>2.0435083772766256</v>
      </c>
      <c r="D32" s="49">
        <f>Beregn!$N$5*(A32+Beregn!$N$6)^(-Beregn!$N$7)</f>
        <v>1.994639037308436</v>
      </c>
      <c r="M32" s="58" t="s">
        <v>88</v>
      </c>
      <c r="N32" s="40">
        <f>(N30-K15)*N29</f>
        <v>592.3668604460322</v>
      </c>
      <c r="O32" s="59" t="s">
        <v>91</v>
      </c>
    </row>
    <row r="33" spans="1:15" ht="12.75">
      <c r="A33" s="34">
        <v>720</v>
      </c>
      <c r="B33" s="48">
        <f>help1!B25</f>
        <v>1.0994228266733572</v>
      </c>
      <c r="C33" s="48">
        <f t="shared" si="7"/>
        <v>1.209365109340693</v>
      </c>
      <c r="D33" s="49">
        <f>Beregn!$N$5*(A33+Beregn!$N$6)^(-Beregn!$N$7)</f>
        <v>1.2353917917586676</v>
      </c>
      <c r="M33" s="60" t="s">
        <v>88</v>
      </c>
      <c r="N33">
        <f>N32*0.06</f>
        <v>35.54201162676193</v>
      </c>
      <c r="O33" s="59" t="s">
        <v>92</v>
      </c>
    </row>
    <row r="34" spans="1:15" ht="12.75">
      <c r="A34" s="34">
        <v>1440</v>
      </c>
      <c r="B34" s="48">
        <f>help1!B26</f>
        <v>0.6792323243415647</v>
      </c>
      <c r="C34" s="48">
        <f t="shared" si="7"/>
        <v>0.7471555567757212</v>
      </c>
      <c r="D34" s="49">
        <f>Beregn!$N$5*(A34+Beregn!$N$6)^(-Beregn!$N$7)</f>
        <v>0.7641642339463894</v>
      </c>
      <c r="M34" s="40"/>
      <c r="N34" s="52"/>
      <c r="O34" s="40"/>
    </row>
    <row r="35" spans="1:15" ht="13.5" thickBot="1">
      <c r="A35" s="37">
        <v>2880</v>
      </c>
      <c r="B35" s="50">
        <f>help1!B27</f>
        <v>0.41395364887670183</v>
      </c>
      <c r="C35" s="50">
        <f t="shared" si="7"/>
        <v>0.45534901376437203</v>
      </c>
      <c r="D35" s="51">
        <f>Beregn!$N$5*(A35+Beregn!$N$6)^(-Beregn!$N$7)</f>
        <v>0.47237655200113143</v>
      </c>
      <c r="M35" s="40"/>
      <c r="N35" s="52"/>
      <c r="O35" s="40"/>
    </row>
    <row r="36" spans="13:15" ht="12.75">
      <c r="M36" s="40"/>
      <c r="N36" s="58"/>
      <c r="O36" s="40"/>
    </row>
    <row r="37" spans="13:15" ht="12.75">
      <c r="M37" s="40"/>
      <c r="N37" s="52"/>
      <c r="O37" s="40"/>
    </row>
    <row r="38" spans="13:15" ht="12.75">
      <c r="M38" s="40"/>
      <c r="N38" s="52"/>
      <c r="O38" s="40"/>
    </row>
    <row r="39" spans="13:15" ht="12.75">
      <c r="M39" s="40"/>
      <c r="N39" s="52"/>
      <c r="O39" s="40"/>
    </row>
    <row r="40" spans="13:15" ht="12.75">
      <c r="M40" s="40"/>
      <c r="N40" s="52"/>
      <c r="O40" s="40"/>
    </row>
    <row r="41" spans="13:15" ht="12.75">
      <c r="M41" s="40"/>
      <c r="N41" s="52"/>
      <c r="O41" s="40"/>
    </row>
    <row r="42" spans="13:15" ht="12.75">
      <c r="M42" s="40"/>
      <c r="N42" s="52"/>
      <c r="O42" s="40"/>
    </row>
    <row r="43" spans="13:15" ht="12.75">
      <c r="M43" s="40"/>
      <c r="N43" s="52"/>
      <c r="O43" s="40"/>
    </row>
    <row r="44" spans="13:15" ht="12.75">
      <c r="M44" s="40"/>
      <c r="N44" s="52"/>
      <c r="O44" s="40"/>
    </row>
    <row r="45" spans="13:15" ht="12.75">
      <c r="M45" s="40"/>
      <c r="N45" s="52"/>
      <c r="O45" s="40"/>
    </row>
    <row r="46" spans="13:15" ht="12.75">
      <c r="M46" s="40"/>
      <c r="N46" s="52"/>
      <c r="O46" s="40"/>
    </row>
    <row r="47" spans="13:15" ht="12.75">
      <c r="M47" s="40"/>
      <c r="N47" s="52"/>
      <c r="O47" s="40"/>
    </row>
    <row r="48" spans="13:15" ht="12.75">
      <c r="M48" s="40"/>
      <c r="N48" s="52"/>
      <c r="O48" s="40"/>
    </row>
    <row r="49" spans="13:15" ht="12.75">
      <c r="M49" s="40"/>
      <c r="N49" s="52"/>
      <c r="O49" s="40"/>
    </row>
    <row r="50" spans="13:15" ht="12.75">
      <c r="M50" s="40"/>
      <c r="N50" s="52"/>
      <c r="O50" s="40"/>
    </row>
    <row r="51" spans="13:15" ht="12.75">
      <c r="M51" s="40"/>
      <c r="N51" s="52"/>
      <c r="O51" s="40"/>
    </row>
    <row r="52" spans="13:15" ht="12.75">
      <c r="M52" s="40"/>
      <c r="N52" s="52"/>
      <c r="O52" s="40"/>
    </row>
    <row r="53" spans="13:15" ht="12.75">
      <c r="M53" s="40"/>
      <c r="N53" s="52"/>
      <c r="O53" s="40"/>
    </row>
    <row r="54" spans="13:15" ht="12.75">
      <c r="M54" s="40"/>
      <c r="N54" s="52"/>
      <c r="O54" s="40"/>
    </row>
    <row r="55" spans="13:15" ht="12.75">
      <c r="M55" s="40"/>
      <c r="N55" s="52"/>
      <c r="O55" s="40"/>
    </row>
    <row r="56" spans="13:15" ht="12.75">
      <c r="M56" s="40"/>
      <c r="N56" s="52"/>
      <c r="O56" s="40"/>
    </row>
    <row r="57" spans="13:15" ht="12.75">
      <c r="M57" s="40"/>
      <c r="N57" s="52"/>
      <c r="O57" s="40"/>
    </row>
    <row r="58" spans="13:15" ht="12.75">
      <c r="M58" s="40"/>
      <c r="N58" s="52"/>
      <c r="O58" s="40"/>
    </row>
    <row r="59" spans="13:15" ht="12.75">
      <c r="M59" s="40"/>
      <c r="N59" s="52"/>
      <c r="O59" s="40"/>
    </row>
    <row r="64" spans="13:17" ht="12.75">
      <c r="M64" s="14"/>
      <c r="N64" s="14"/>
      <c r="O64" s="14"/>
      <c r="Q64" s="14"/>
    </row>
    <row r="65" spans="14:18" ht="12.75">
      <c r="N65" s="14"/>
      <c r="Q65" s="40"/>
      <c r="R65" s="40"/>
    </row>
    <row r="66" spans="14:18" ht="12.75">
      <c r="N66" s="14"/>
      <c r="Q66" s="40"/>
      <c r="R66" s="40"/>
    </row>
    <row r="67" spans="14:18" ht="12.75">
      <c r="N67" s="14"/>
      <c r="Q67" s="40"/>
      <c r="R67" s="40"/>
    </row>
    <row r="68" spans="14:18" ht="12.75">
      <c r="N68" s="14"/>
      <c r="Q68" s="40"/>
      <c r="R68" s="40"/>
    </row>
    <row r="69" spans="14:18" ht="12.75">
      <c r="N69" s="14"/>
      <c r="Q69" s="40"/>
      <c r="R69" s="40"/>
    </row>
    <row r="70" spans="14:18" ht="12.75">
      <c r="N70" s="14"/>
      <c r="Q70" s="40"/>
      <c r="R70" s="40"/>
    </row>
    <row r="71" spans="14:18" ht="12.75">
      <c r="N71" s="14"/>
      <c r="Q71" s="40"/>
      <c r="R71" s="40"/>
    </row>
    <row r="72" spans="14:18" ht="12.75">
      <c r="N72" s="14"/>
      <c r="Q72" s="40"/>
      <c r="R72" s="40"/>
    </row>
    <row r="73" spans="14:18" ht="12.75">
      <c r="N73" s="14"/>
      <c r="Q73" s="40"/>
      <c r="R73" s="40"/>
    </row>
    <row r="74" spans="14:18" ht="12.75">
      <c r="N74" s="14"/>
      <c r="Q74" s="40"/>
      <c r="R74" s="40"/>
    </row>
    <row r="75" spans="14:18" ht="12.75">
      <c r="N75" s="14"/>
      <c r="Q75" s="40"/>
      <c r="R75" s="40"/>
    </row>
    <row r="76" spans="14:18" ht="12.75">
      <c r="N76" s="14"/>
      <c r="Q76" s="40"/>
      <c r="R76" s="40"/>
    </row>
    <row r="77" spans="14:18" ht="12.75">
      <c r="N77" s="14"/>
      <c r="Q77" s="40"/>
      <c r="R77" s="40"/>
    </row>
    <row r="78" spans="14:18" ht="12.75">
      <c r="N78" s="14"/>
      <c r="Q78" s="40"/>
      <c r="R78" s="40"/>
    </row>
    <row r="79" spans="14:18" ht="12.75">
      <c r="N79" s="14"/>
      <c r="Q79" s="40"/>
      <c r="R79" s="40"/>
    </row>
    <row r="80" spans="14:18" ht="12.75">
      <c r="N80" s="14"/>
      <c r="Q80" s="40"/>
      <c r="R80" s="40"/>
    </row>
    <row r="81" spans="14:18" ht="12.75">
      <c r="N81" s="14"/>
      <c r="Q81" s="40"/>
      <c r="R81" s="40"/>
    </row>
    <row r="82" spans="14:18" ht="12.75">
      <c r="N82" s="14"/>
      <c r="Q82" s="40"/>
      <c r="R82" s="40"/>
    </row>
    <row r="83" spans="14:18" ht="12.75">
      <c r="N83" s="14"/>
      <c r="Q83" s="40"/>
      <c r="R83" s="40"/>
    </row>
    <row r="84" spans="14:18" ht="12.75">
      <c r="N84" s="14"/>
      <c r="Q84" s="40"/>
      <c r="R84" s="40"/>
    </row>
    <row r="85" spans="14:18" ht="12.75">
      <c r="N85" s="14"/>
      <c r="Q85" s="40"/>
      <c r="R85" s="40"/>
    </row>
    <row r="86" spans="14:18" ht="12.75">
      <c r="N86" s="14"/>
      <c r="Q86" s="40"/>
      <c r="R86" s="40"/>
    </row>
    <row r="87" spans="14:18" ht="12.75">
      <c r="N87" s="14"/>
      <c r="Q87" s="40"/>
      <c r="R87" s="40"/>
    </row>
    <row r="88" spans="14:18" ht="12.75">
      <c r="N88" s="14"/>
      <c r="Q88" s="40"/>
      <c r="R88" s="40"/>
    </row>
    <row r="89" spans="14:18" ht="12.75">
      <c r="N89" s="14"/>
      <c r="Q89" s="40"/>
      <c r="R89" s="40"/>
    </row>
    <row r="90" spans="14:18" ht="12.75">
      <c r="N90" s="14"/>
      <c r="Q90" s="40"/>
      <c r="R90" s="40"/>
    </row>
    <row r="91" spans="14:18" ht="12.75">
      <c r="N91" s="14"/>
      <c r="Q91" s="40"/>
      <c r="R91" s="40"/>
    </row>
    <row r="92" spans="14:18" ht="12.75">
      <c r="N92" s="14"/>
      <c r="Q92" s="40"/>
      <c r="R92" s="40"/>
    </row>
    <row r="93" spans="14:18" ht="12.75">
      <c r="N93" s="14"/>
      <c r="Q93" s="40"/>
      <c r="R93" s="40"/>
    </row>
    <row r="94" spans="14:18" ht="12.75">
      <c r="N94" s="14"/>
      <c r="Q94" s="40"/>
      <c r="R94" s="40"/>
    </row>
    <row r="95" spans="14:18" ht="12.75">
      <c r="N95" s="14"/>
      <c r="Q95" s="40"/>
      <c r="R95" s="40"/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48"/>
  <sheetViews>
    <sheetView zoomScalePageLayoutView="0" workbookViewId="0" topLeftCell="A1">
      <selection activeCell="J21" sqref="J21"/>
    </sheetView>
  </sheetViews>
  <sheetFormatPr defaultColWidth="9.140625" defaultRowHeight="12.75"/>
  <cols>
    <col min="2" max="2" width="10.8515625" style="0" customWidth="1"/>
  </cols>
  <sheetData>
    <row r="1" ht="12.75">
      <c r="A1" s="8" t="s">
        <v>34</v>
      </c>
    </row>
    <row r="3" spans="1:12" ht="12.75">
      <c r="A3" t="s">
        <v>15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I3" t="s">
        <v>6</v>
      </c>
      <c r="K3" t="s">
        <v>36</v>
      </c>
      <c r="L3" t="s">
        <v>33</v>
      </c>
    </row>
    <row r="4" spans="1:12" ht="12.75">
      <c r="A4" t="s">
        <v>61</v>
      </c>
      <c r="B4" s="1">
        <v>-0.5229</v>
      </c>
      <c r="C4" s="1">
        <v>0.006528</v>
      </c>
      <c r="D4" s="1">
        <v>0.6092</v>
      </c>
      <c r="E4" s="1">
        <v>-0.0008788</v>
      </c>
      <c r="F4" s="1">
        <v>1.356E-06</v>
      </c>
      <c r="G4" s="1">
        <v>0.2507</v>
      </c>
      <c r="I4">
        <v>15.8</v>
      </c>
      <c r="K4" s="3">
        <f>B4+C4*Beregn!$B$4</f>
        <v>3.7203</v>
      </c>
      <c r="L4" s="3">
        <f>D4+2*E4*Beregn!$B$4+F4*Beregn!$B$4^2+G4</f>
        <v>0.2903700000000001</v>
      </c>
    </row>
    <row r="5" spans="1:12" ht="12.75">
      <c r="A5" t="s">
        <v>62</v>
      </c>
      <c r="B5" s="1">
        <v>0.07915</v>
      </c>
      <c r="C5" s="1">
        <v>0.005485</v>
      </c>
      <c r="D5" s="1">
        <v>0.5835</v>
      </c>
      <c r="E5" s="1">
        <v>-0.0008301</v>
      </c>
      <c r="F5" s="1">
        <v>1.277E-06</v>
      </c>
      <c r="G5" s="1">
        <v>0.2353</v>
      </c>
      <c r="I5">
        <v>12.8</v>
      </c>
      <c r="K5" s="3">
        <f>B5+C5*Beregn!$B$4</f>
        <v>3.6444</v>
      </c>
      <c r="L5" s="3">
        <f>D5+2*E5*Beregn!$B$4+F5*Beregn!$B$4^2+G5</f>
        <v>0.2792025000000001</v>
      </c>
    </row>
    <row r="6" spans="1:12" ht="12.75">
      <c r="A6" t="s">
        <v>63</v>
      </c>
      <c r="B6" s="1">
        <v>0.1941</v>
      </c>
      <c r="C6" s="1">
        <v>0.00508</v>
      </c>
      <c r="D6" s="1">
        <v>0.5873</v>
      </c>
      <c r="E6" s="1">
        <v>-0.0008343</v>
      </c>
      <c r="F6" s="1">
        <v>1.284E-06</v>
      </c>
      <c r="G6" s="1">
        <v>0.2465</v>
      </c>
      <c r="I6">
        <v>9</v>
      </c>
      <c r="K6" s="3">
        <f>B6+C6*Beregn!$B$4</f>
        <v>3.4961</v>
      </c>
      <c r="L6" s="3">
        <f>D6+2*E6*Beregn!$B$4+F6*Beregn!$B$4^2+G6</f>
        <v>0.2917</v>
      </c>
    </row>
    <row r="7" spans="1:12" ht="12.75">
      <c r="A7" t="s">
        <v>7</v>
      </c>
      <c r="B7" s="1">
        <v>0.561</v>
      </c>
      <c r="C7" s="1">
        <v>0.005064</v>
      </c>
      <c r="D7" s="1">
        <v>0.6282</v>
      </c>
      <c r="E7" s="1">
        <v>-0.0008861</v>
      </c>
      <c r="F7" s="1">
        <v>1.362E-06</v>
      </c>
      <c r="G7" s="1">
        <v>0.259</v>
      </c>
      <c r="H7" s="4"/>
      <c r="I7" s="6">
        <v>6</v>
      </c>
      <c r="K7" s="3">
        <f>B7+C7*Beregn!$B$4</f>
        <v>3.8526</v>
      </c>
      <c r="L7" s="3">
        <f>D7+2*E7*Beregn!$B$4+F7*Beregn!$B$4^2+G7</f>
        <v>0.31071499999999985</v>
      </c>
    </row>
    <row r="8" spans="1:12" ht="12.75">
      <c r="A8" t="s">
        <v>8</v>
      </c>
      <c r="B8" s="1">
        <v>0.7664</v>
      </c>
      <c r="C8" s="1">
        <v>0.004226</v>
      </c>
      <c r="D8" s="1">
        <v>0.6348</v>
      </c>
      <c r="E8" s="1">
        <v>-0.0009023</v>
      </c>
      <c r="F8" s="1">
        <v>1.388E-06</v>
      </c>
      <c r="G8" s="1">
        <v>0.2746</v>
      </c>
      <c r="H8" s="4"/>
      <c r="I8" s="6">
        <v>3.2</v>
      </c>
      <c r="K8" s="3">
        <f>B8+C8*Beregn!$B$4</f>
        <v>3.5132999999999996</v>
      </c>
      <c r="L8" s="3">
        <f>D8+2*E8*Beregn!$B$4+F8*Beregn!$B$4^2+G8</f>
        <v>0.32284000000000007</v>
      </c>
    </row>
    <row r="9" spans="1:12" ht="12.75">
      <c r="A9" t="s">
        <v>9</v>
      </c>
      <c r="B9" s="1">
        <v>0.9524</v>
      </c>
      <c r="C9" s="1">
        <v>0.003853</v>
      </c>
      <c r="D9" s="1">
        <v>0.6512</v>
      </c>
      <c r="E9" s="1">
        <v>-0.0009286</v>
      </c>
      <c r="F9" s="1">
        <v>1.43E-06</v>
      </c>
      <c r="G9" s="1">
        <v>0.2912</v>
      </c>
      <c r="H9" s="4"/>
      <c r="I9" s="6">
        <v>2.1</v>
      </c>
      <c r="K9" s="3">
        <f>B9+C9*Beregn!$B$4</f>
        <v>3.4568499999999998</v>
      </c>
      <c r="L9" s="3">
        <f>D9+2*E9*Beregn!$B$4+F9*Beregn!$B$4^2+G9</f>
        <v>0.3393950000000001</v>
      </c>
    </row>
    <row r="10" spans="1:12" ht="12.75">
      <c r="A10" t="s">
        <v>10</v>
      </c>
      <c r="B10" s="1">
        <v>1.031</v>
      </c>
      <c r="C10" s="1">
        <v>0.003471</v>
      </c>
      <c r="D10" s="1">
        <v>0.6328</v>
      </c>
      <c r="E10" s="1">
        <v>-0.0009134</v>
      </c>
      <c r="F10" s="1">
        <v>1.409E-06</v>
      </c>
      <c r="G10" s="1">
        <v>0.2749</v>
      </c>
      <c r="H10" s="4"/>
      <c r="I10" s="6">
        <v>1.1</v>
      </c>
      <c r="K10" s="3">
        <f>B10+C10*Beregn!$B$4</f>
        <v>3.2871499999999996</v>
      </c>
      <c r="L10" s="3">
        <f>D10+2*E10*Beregn!$B$4+F10*Beregn!$B$4^2+G10</f>
        <v>0.31558250000000004</v>
      </c>
    </row>
    <row r="11" spans="1:12" ht="12.75">
      <c r="A11" t="s">
        <v>11</v>
      </c>
      <c r="B11" s="1">
        <v>0.1206</v>
      </c>
      <c r="C11" s="1">
        <v>0.004393</v>
      </c>
      <c r="D11" s="1">
        <v>0.5496</v>
      </c>
      <c r="E11" s="1">
        <v>-0.0007771</v>
      </c>
      <c r="F11" s="1">
        <v>1.195E-06</v>
      </c>
      <c r="G11" s="1">
        <v>0.2166</v>
      </c>
      <c r="H11" s="4"/>
      <c r="I11" s="6">
        <v>0.73</v>
      </c>
      <c r="K11" s="3">
        <f>B11+C11*Beregn!$B$4</f>
        <v>2.9760500000000003</v>
      </c>
      <c r="L11" s="3">
        <f>D11+2*E11*Beregn!$B$4+F11*Beregn!$B$4^2+G11</f>
        <v>0.2608575000000001</v>
      </c>
    </row>
    <row r="12" spans="1:12" ht="12.75">
      <c r="A12" t="s">
        <v>12</v>
      </c>
      <c r="B12" s="1">
        <v>-0.7122</v>
      </c>
      <c r="C12" s="1">
        <v>0.005066</v>
      </c>
      <c r="D12" s="1">
        <v>0.5126</v>
      </c>
      <c r="E12" s="1">
        <v>-0.0007225</v>
      </c>
      <c r="F12" s="1">
        <v>1.11E-06</v>
      </c>
      <c r="G12" s="1">
        <v>0.1895</v>
      </c>
      <c r="H12" s="4"/>
      <c r="I12" s="6">
        <v>0.45</v>
      </c>
      <c r="K12" s="3">
        <f>B12+C12*Beregn!$B$4</f>
        <v>2.5806999999999998</v>
      </c>
      <c r="L12" s="3">
        <f>D12+2*E12*Beregn!$B$4+F12*Beregn!$B$4^2+G12</f>
        <v>0.2318249999999999</v>
      </c>
    </row>
    <row r="13" spans="1:12" ht="12.75">
      <c r="A13" t="s">
        <v>13</v>
      </c>
      <c r="B13" s="1">
        <v>-2.113</v>
      </c>
      <c r="C13" s="1">
        <v>0.007478</v>
      </c>
      <c r="D13" s="1">
        <v>0.5206</v>
      </c>
      <c r="E13" s="1">
        <v>-0.0007082</v>
      </c>
      <c r="F13" s="1">
        <v>1.081E-06</v>
      </c>
      <c r="G13" s="1">
        <v>0.2068</v>
      </c>
      <c r="H13" s="4"/>
      <c r="I13" s="6">
        <v>0.26</v>
      </c>
      <c r="K13" s="3">
        <f>B13+C13*Beregn!$B$4</f>
        <v>2.7477000000000005</v>
      </c>
      <c r="L13" s="3">
        <f>D13+2*E13*Beregn!$B$4+F13*Beregn!$B$4^2+G13</f>
        <v>0.26346250000000004</v>
      </c>
    </row>
    <row r="14" spans="1:12" ht="12.75">
      <c r="A14" t="s">
        <v>14</v>
      </c>
      <c r="B14" s="1">
        <v>-3.663</v>
      </c>
      <c r="C14" s="1">
        <v>0.01067</v>
      </c>
      <c r="D14" s="1">
        <v>0.4709</v>
      </c>
      <c r="E14" s="1">
        <v>-0.0006301</v>
      </c>
      <c r="F14" s="1">
        <v>9.592E-07</v>
      </c>
      <c r="G14" s="1">
        <v>0.1756</v>
      </c>
      <c r="H14" s="4"/>
      <c r="I14" s="6">
        <v>0.15</v>
      </c>
      <c r="K14" s="3">
        <f>B14+C14*Beregn!$B$4</f>
        <v>3.2725000000000004</v>
      </c>
      <c r="L14" s="3">
        <f>D14+2*E14*Beregn!$B$4+F14*Beregn!$B$4^2+G14</f>
        <v>0.2326320000000001</v>
      </c>
    </row>
    <row r="17" spans="1:9" ht="12.75">
      <c r="A17" s="8" t="s">
        <v>35</v>
      </c>
      <c r="C17" s="1"/>
      <c r="D17" s="3"/>
      <c r="E17" s="1"/>
      <c r="F17" s="1"/>
      <c r="H17" s="4"/>
      <c r="I17" s="6"/>
    </row>
    <row r="18" spans="3:9" ht="12.75">
      <c r="C18" s="1"/>
      <c r="D18" s="3"/>
      <c r="E18" s="1"/>
      <c r="F18" s="1"/>
      <c r="H18" s="4"/>
      <c r="I18" s="6"/>
    </row>
    <row r="19" spans="2:5" ht="12.75">
      <c r="B19" t="s">
        <v>67</v>
      </c>
      <c r="E19" t="s">
        <v>68</v>
      </c>
    </row>
    <row r="20" spans="1:7" ht="12.75">
      <c r="A20" t="s">
        <v>15</v>
      </c>
      <c r="B20" t="s">
        <v>16</v>
      </c>
      <c r="C20" t="s">
        <v>17</v>
      </c>
      <c r="D20" t="s">
        <v>18</v>
      </c>
      <c r="E20" t="s">
        <v>16</v>
      </c>
      <c r="F20" t="s">
        <v>17</v>
      </c>
      <c r="G20" t="s">
        <v>18</v>
      </c>
    </row>
    <row r="21" spans="1:7" ht="12.75">
      <c r="A21" t="s">
        <v>61</v>
      </c>
      <c r="B21" s="1">
        <v>5.973</v>
      </c>
      <c r="C21" s="1">
        <v>0.1047</v>
      </c>
      <c r="D21" s="1">
        <v>0.1354</v>
      </c>
      <c r="E21" s="1">
        <v>5.973</v>
      </c>
      <c r="F21" s="1">
        <v>0.1047</v>
      </c>
      <c r="G21" s="1">
        <v>0.1354</v>
      </c>
    </row>
    <row r="22" spans="1:7" ht="12.75">
      <c r="A22" t="s">
        <v>62</v>
      </c>
      <c r="B22" s="1">
        <v>5.782</v>
      </c>
      <c r="C22" s="1">
        <v>0.09186</v>
      </c>
      <c r="D22" s="1">
        <v>0.1191</v>
      </c>
      <c r="E22" s="1">
        <v>5.782</v>
      </c>
      <c r="F22" s="1">
        <v>0.09186</v>
      </c>
      <c r="G22" s="1">
        <v>0.1191</v>
      </c>
    </row>
    <row r="23" spans="1:7" ht="12.75">
      <c r="A23" t="s">
        <v>63</v>
      </c>
      <c r="B23" s="1">
        <v>4.713</v>
      </c>
      <c r="C23" s="1">
        <v>0.02052</v>
      </c>
      <c r="D23" s="1">
        <v>0.03649</v>
      </c>
      <c r="E23" s="1">
        <v>4.713</v>
      </c>
      <c r="F23" s="1">
        <v>0.02052</v>
      </c>
      <c r="G23" s="1">
        <v>0.03649</v>
      </c>
    </row>
    <row r="24" spans="1:7" ht="12.75">
      <c r="A24" t="s">
        <v>7</v>
      </c>
      <c r="B24" s="1">
        <v>3.45</v>
      </c>
      <c r="C24" s="1">
        <v>0.008561</v>
      </c>
      <c r="D24" s="1">
        <v>0.01661</v>
      </c>
      <c r="E24" s="1">
        <v>3.45</v>
      </c>
      <c r="F24" s="1">
        <v>0.008561</v>
      </c>
      <c r="G24" s="1">
        <v>0.01661</v>
      </c>
    </row>
    <row r="25" spans="1:7" ht="12.75">
      <c r="A25" t="s">
        <v>8</v>
      </c>
      <c r="B25" s="1">
        <v>1.739</v>
      </c>
      <c r="C25" s="1">
        <v>0.0006571</v>
      </c>
      <c r="D25" s="1">
        <v>0.003275</v>
      </c>
      <c r="E25" s="1">
        <v>1.739</v>
      </c>
      <c r="F25" s="1">
        <v>0.0006571</v>
      </c>
      <c r="G25" s="1">
        <v>0.003275</v>
      </c>
    </row>
    <row r="26" spans="1:7" ht="12.75">
      <c r="A26" t="s">
        <v>9</v>
      </c>
      <c r="B26" s="1">
        <v>1.033</v>
      </c>
      <c r="C26" s="1">
        <v>0.001113</v>
      </c>
      <c r="D26" s="1">
        <v>0.002154</v>
      </c>
      <c r="E26" s="1">
        <v>1.033</v>
      </c>
      <c r="F26" s="1">
        <v>0.001113</v>
      </c>
      <c r="G26" s="1">
        <v>0.002154</v>
      </c>
    </row>
    <row r="27" spans="1:7" ht="12.75">
      <c r="A27" t="s">
        <v>10</v>
      </c>
      <c r="B27" s="1">
        <v>0.4655</v>
      </c>
      <c r="C27" s="1">
        <v>1.647E-05</v>
      </c>
      <c r="D27" s="1">
        <v>0.0003529</v>
      </c>
      <c r="E27" s="1">
        <v>0.4655</v>
      </c>
      <c r="F27" s="1">
        <v>1.647E-05</v>
      </c>
      <c r="G27" s="1">
        <v>0.0003529</v>
      </c>
    </row>
    <row r="28" spans="1:7" ht="12.75">
      <c r="A28" t="s">
        <v>11</v>
      </c>
      <c r="B28" s="1">
        <v>0.2924</v>
      </c>
      <c r="C28" s="1">
        <v>0.0004604</v>
      </c>
      <c r="D28" s="1">
        <v>0.0007802</v>
      </c>
      <c r="E28" s="1">
        <v>0.2631</v>
      </c>
      <c r="F28" s="1">
        <v>0.0003269</v>
      </c>
      <c r="G28" s="1">
        <v>0.0005961</v>
      </c>
    </row>
    <row r="29" spans="1:7" ht="12.75">
      <c r="A29" t="s">
        <v>12</v>
      </c>
      <c r="B29" s="1">
        <v>0.1829</v>
      </c>
      <c r="C29" s="1">
        <v>0.0005755</v>
      </c>
      <c r="D29" s="1">
        <v>0.0007697</v>
      </c>
      <c r="E29" s="1">
        <v>0.1667</v>
      </c>
      <c r="F29" s="1">
        <v>0.0002717</v>
      </c>
      <c r="G29" s="1">
        <v>0.0004134</v>
      </c>
    </row>
    <row r="30" spans="1:7" ht="12.75">
      <c r="A30" t="s">
        <v>13</v>
      </c>
      <c r="B30" s="1">
        <v>0.115</v>
      </c>
      <c r="C30" s="1">
        <v>0.0001597</v>
      </c>
      <c r="D30" s="1">
        <v>0.0002294</v>
      </c>
      <c r="E30" s="1">
        <v>0.09209</v>
      </c>
      <c r="F30" s="1">
        <v>1.344E-05</v>
      </c>
      <c r="G30" s="1">
        <v>5.702E-05</v>
      </c>
    </row>
    <row r="31" spans="1:7" ht="12.75">
      <c r="A31" t="s">
        <v>14</v>
      </c>
      <c r="B31" s="1">
        <v>0.07001</v>
      </c>
      <c r="C31" s="1">
        <v>4.735E-05</v>
      </c>
      <c r="D31" s="1">
        <v>6.962E-05</v>
      </c>
      <c r="E31" s="1">
        <v>0.05511</v>
      </c>
      <c r="F31" s="1">
        <v>5.326E-06</v>
      </c>
      <c r="G31" s="1">
        <v>1.9E-05</v>
      </c>
    </row>
    <row r="34" ht="12.75">
      <c r="A34" s="8" t="s">
        <v>19</v>
      </c>
    </row>
    <row r="36" spans="1:5" ht="12.75">
      <c r="A36" t="s">
        <v>19</v>
      </c>
      <c r="E36" t="s">
        <v>20</v>
      </c>
    </row>
    <row r="37" spans="1:7" ht="12.75">
      <c r="A37" t="s">
        <v>15</v>
      </c>
      <c r="B37" t="s">
        <v>16</v>
      </c>
      <c r="C37" t="s">
        <v>21</v>
      </c>
      <c r="D37" t="s">
        <v>22</v>
      </c>
      <c r="E37" t="s">
        <v>16</v>
      </c>
      <c r="F37" t="s">
        <v>23</v>
      </c>
      <c r="G37" t="s">
        <v>22</v>
      </c>
    </row>
    <row r="38" spans="1:7" ht="12.75">
      <c r="A38" t="s">
        <v>61</v>
      </c>
      <c r="B38" s="1">
        <v>0.541</v>
      </c>
      <c r="C38" s="1">
        <v>0.0008883</v>
      </c>
      <c r="D38" s="1">
        <v>0.0009195</v>
      </c>
      <c r="E38">
        <f>1/B38-2</f>
        <v>-0.1515711645101665</v>
      </c>
      <c r="F38" s="1">
        <f>1/B38^4*C38</f>
        <v>0.01036980528532016</v>
      </c>
      <c r="G38" s="1">
        <f>1/B38^4*D38</f>
        <v>0.010734026747553626</v>
      </c>
    </row>
    <row r="39" spans="1:7" ht="12.75">
      <c r="A39" t="s">
        <v>62</v>
      </c>
      <c r="B39" s="1">
        <v>0.5255</v>
      </c>
      <c r="C39" s="1">
        <v>0.0002671</v>
      </c>
      <c r="D39" s="1">
        <v>0.0002938</v>
      </c>
      <c r="E39">
        <f>1/B39-2</f>
        <v>-0.0970504281636535</v>
      </c>
      <c r="F39" s="1">
        <f>1/B39^4*C39</f>
        <v>0.003502539216189429</v>
      </c>
      <c r="G39" s="1">
        <f>1/B39^4*D39</f>
        <v>0.0038526620056774778</v>
      </c>
    </row>
    <row r="40" spans="1:7" ht="12.75">
      <c r="A40" t="s">
        <v>63</v>
      </c>
      <c r="B40" s="1">
        <v>0.52</v>
      </c>
      <c r="C40" s="1">
        <v>5.286E-06</v>
      </c>
      <c r="D40" s="1">
        <v>3.207E-05</v>
      </c>
      <c r="E40">
        <f>1/B40-2</f>
        <v>-0.0769230769230771</v>
      </c>
      <c r="F40" s="1">
        <f>1/B40^4*C40</f>
        <v>7.229591926053008E-05</v>
      </c>
      <c r="G40" s="1">
        <f>1/B40^4*D40</f>
        <v>0.0004386171265011729</v>
      </c>
    </row>
    <row r="41" spans="1:7" ht="12.75">
      <c r="A41" t="s">
        <v>7</v>
      </c>
      <c r="B41" s="1">
        <v>0.5307</v>
      </c>
      <c r="C41" s="1">
        <v>0.0001041</v>
      </c>
      <c r="D41" s="1">
        <v>0.0001334</v>
      </c>
      <c r="E41">
        <f aca="true" t="shared" si="0" ref="E41:E48">1/B41-2</f>
        <v>-0.11569625023553787</v>
      </c>
      <c r="F41" s="1">
        <f aca="true" t="shared" si="1" ref="F41:F48">1/B41^4*C41</f>
        <v>0.001312364212819183</v>
      </c>
      <c r="G41" s="1">
        <f aca="true" t="shared" si="2" ref="G41:G48">1/B41^4*D41</f>
        <v>0.0016817424206539769</v>
      </c>
    </row>
    <row r="42" spans="1:7" ht="12.75">
      <c r="A42" t="s">
        <v>8</v>
      </c>
      <c r="B42" s="1">
        <v>0.5557</v>
      </c>
      <c r="C42" s="1">
        <v>8.608E-05</v>
      </c>
      <c r="D42" s="1">
        <v>0.0001168</v>
      </c>
      <c r="E42">
        <f t="shared" si="0"/>
        <v>-0.2004678783516285</v>
      </c>
      <c r="F42" s="1">
        <f t="shared" si="1"/>
        <v>0.0009026942397943632</v>
      </c>
      <c r="G42" s="1">
        <f t="shared" si="2"/>
        <v>0.0012248453439588944</v>
      </c>
    </row>
    <row r="43" spans="1:7" ht="12.75">
      <c r="A43" t="s">
        <v>9</v>
      </c>
      <c r="B43" s="1">
        <v>0.5572</v>
      </c>
      <c r="C43" s="1">
        <v>0.0003242</v>
      </c>
      <c r="D43" s="1">
        <v>0.0003649</v>
      </c>
      <c r="E43">
        <f t="shared" si="0"/>
        <v>-0.20531227566403465</v>
      </c>
      <c r="F43" s="1">
        <f t="shared" si="1"/>
        <v>0.003363323017763579</v>
      </c>
      <c r="G43" s="1">
        <f t="shared" si="2"/>
        <v>0.0037855538839664704</v>
      </c>
    </row>
    <row r="44" spans="1:7" ht="12.75">
      <c r="A44" t="s">
        <v>10</v>
      </c>
      <c r="B44" s="1">
        <v>0.5465</v>
      </c>
      <c r="C44" s="1">
        <v>4.982E-05</v>
      </c>
      <c r="D44" s="1">
        <v>9.865E-05</v>
      </c>
      <c r="E44">
        <f t="shared" si="0"/>
        <v>-0.17017383348581872</v>
      </c>
      <c r="F44" s="1">
        <f t="shared" si="1"/>
        <v>0.0005585255669206953</v>
      </c>
      <c r="G44" s="1">
        <f t="shared" si="2"/>
        <v>0.0011059523720739982</v>
      </c>
    </row>
    <row r="45" spans="1:7" ht="12.75">
      <c r="A45" t="s">
        <v>11</v>
      </c>
      <c r="B45" s="1">
        <v>0.5521</v>
      </c>
      <c r="C45" s="1">
        <v>0.0002897</v>
      </c>
      <c r="D45" s="1">
        <v>0.0003659</v>
      </c>
      <c r="E45">
        <f t="shared" si="0"/>
        <v>-0.18873392501358466</v>
      </c>
      <c r="F45" s="1">
        <f t="shared" si="1"/>
        <v>0.003118010021037793</v>
      </c>
      <c r="G45" s="1">
        <f t="shared" si="2"/>
        <v>0.003938142446315943</v>
      </c>
    </row>
    <row r="46" spans="1:7" ht="12.75">
      <c r="A46" t="s">
        <v>12</v>
      </c>
      <c r="B46" s="1">
        <v>0.5391</v>
      </c>
      <c r="C46" s="1">
        <v>0.0002656</v>
      </c>
      <c r="D46" s="1">
        <v>0.0003659</v>
      </c>
      <c r="E46">
        <f t="shared" si="0"/>
        <v>-0.14505657577443887</v>
      </c>
      <c r="F46" s="1">
        <f t="shared" si="1"/>
        <v>0.0031444938044505075</v>
      </c>
      <c r="G46" s="1">
        <f t="shared" si="2"/>
        <v>0.004331966427140213</v>
      </c>
    </row>
    <row r="47" spans="1:7" ht="12.75">
      <c r="A47" t="s">
        <v>13</v>
      </c>
      <c r="B47" s="1">
        <v>0.5402</v>
      </c>
      <c r="C47" s="1">
        <v>0.000641</v>
      </c>
      <c r="D47" s="1">
        <v>0.0007604</v>
      </c>
      <c r="E47">
        <f t="shared" si="0"/>
        <v>-0.14883376527212144</v>
      </c>
      <c r="F47" s="1">
        <f t="shared" si="1"/>
        <v>0.007527308405426977</v>
      </c>
      <c r="G47" s="1">
        <f t="shared" si="2"/>
        <v>0.008929431063161738</v>
      </c>
    </row>
    <row r="48" spans="1:7" ht="12.75">
      <c r="A48" t="s">
        <v>14</v>
      </c>
      <c r="B48" s="1">
        <v>0.5277</v>
      </c>
      <c r="C48" s="1">
        <v>0.0005241</v>
      </c>
      <c r="D48" s="1">
        <v>0.0006419</v>
      </c>
      <c r="E48">
        <f t="shared" si="0"/>
        <v>-0.10498389236308481</v>
      </c>
      <c r="F48" s="1">
        <f t="shared" si="1"/>
        <v>0.00675874066883541</v>
      </c>
      <c r="G48" s="1">
        <f t="shared" si="2"/>
        <v>0.008277877571695192</v>
      </c>
    </row>
  </sheetData>
  <sheetProtection password="CC64" sheet="1" objects="1" scenarios="1"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S27"/>
  <sheetViews>
    <sheetView zoomScalePageLayoutView="0" workbookViewId="0" topLeftCell="A1">
      <selection activeCell="D9" sqref="D9"/>
    </sheetView>
  </sheetViews>
  <sheetFormatPr defaultColWidth="9.140625" defaultRowHeight="12.75"/>
  <cols>
    <col min="22" max="22" width="11.00390625" style="0" bestFit="1" customWidth="1"/>
  </cols>
  <sheetData>
    <row r="1" spans="1:22" ht="12.75">
      <c r="A1" s="5" t="s">
        <v>31</v>
      </c>
      <c r="B1" s="5" t="s">
        <v>61</v>
      </c>
      <c r="C1" s="5"/>
      <c r="D1" s="5" t="s">
        <v>62</v>
      </c>
      <c r="E1" s="5"/>
      <c r="F1" s="5" t="s">
        <v>63</v>
      </c>
      <c r="G1" s="5"/>
      <c r="H1" t="s">
        <v>7</v>
      </c>
      <c r="J1" t="s">
        <v>8</v>
      </c>
      <c r="L1" t="s">
        <v>9</v>
      </c>
      <c r="N1" t="s">
        <v>10</v>
      </c>
      <c r="P1" t="s">
        <v>11</v>
      </c>
      <c r="R1" t="s">
        <v>12</v>
      </c>
      <c r="T1" t="s">
        <v>13</v>
      </c>
      <c r="V1" t="s">
        <v>14</v>
      </c>
    </row>
    <row r="2" spans="1:7" ht="12.75">
      <c r="A2" s="5"/>
      <c r="B2" s="5"/>
      <c r="C2" s="5"/>
      <c r="D2" s="5"/>
      <c r="E2" s="5"/>
      <c r="F2" s="5"/>
      <c r="G2" s="5"/>
    </row>
    <row r="3" spans="1:44" ht="12.75">
      <c r="A3" s="5" t="s">
        <v>24</v>
      </c>
      <c r="B3" s="6">
        <f>Tables!$I$4</f>
        <v>15.8</v>
      </c>
      <c r="C3" s="5"/>
      <c r="D3" s="6">
        <f>Tables!$I$5</f>
        <v>12.8</v>
      </c>
      <c r="E3" s="5"/>
      <c r="F3" s="6">
        <f>Tables!$I$6</f>
        <v>9</v>
      </c>
      <c r="G3" s="5"/>
      <c r="H3" s="6">
        <f>Tables!$I$7</f>
        <v>6</v>
      </c>
      <c r="J3" s="6">
        <f>Tables!$I$8</f>
        <v>3.2</v>
      </c>
      <c r="L3" s="6">
        <f>Tables!$I$9</f>
        <v>2.1</v>
      </c>
      <c r="N3" s="6">
        <f>Tables!$I$10</f>
        <v>1.1</v>
      </c>
      <c r="P3" s="6">
        <f>Tables!$I$11</f>
        <v>0.73</v>
      </c>
      <c r="R3" s="6">
        <f>Tables!$I$12</f>
        <v>0.45</v>
      </c>
      <c r="T3" s="6">
        <f>Tables!$I$13</f>
        <v>0.26</v>
      </c>
      <c r="V3" s="6">
        <f>Tables!$I$14</f>
        <v>0.15</v>
      </c>
      <c r="X3" s="6"/>
      <c r="AB3" s="6"/>
      <c r="AF3" s="6"/>
      <c r="AJ3" s="6"/>
      <c r="AN3" s="6"/>
      <c r="AR3" s="6"/>
    </row>
    <row r="4" spans="1:44" ht="12.75">
      <c r="A4" s="5" t="s">
        <v>25</v>
      </c>
      <c r="B4" s="6">
        <f>Tables!$K$4</f>
        <v>3.7203</v>
      </c>
      <c r="C4" s="5"/>
      <c r="D4" s="6">
        <f>Tables!$K$5</f>
        <v>3.6444</v>
      </c>
      <c r="E4" s="5"/>
      <c r="F4" s="6">
        <f>Tables!$K$6</f>
        <v>3.4961</v>
      </c>
      <c r="G4" s="5"/>
      <c r="H4" s="6">
        <f>Tables!$K$7</f>
        <v>3.8526</v>
      </c>
      <c r="J4" s="6">
        <f>Tables!$K$8</f>
        <v>3.5132999999999996</v>
      </c>
      <c r="L4" s="6">
        <f>Tables!$K$9</f>
        <v>3.4568499999999998</v>
      </c>
      <c r="N4" s="6">
        <f>Tables!$K$10</f>
        <v>3.2871499999999996</v>
      </c>
      <c r="P4" s="6">
        <f>Tables!$K$11</f>
        <v>2.9760500000000003</v>
      </c>
      <c r="R4" s="6">
        <f>Tables!$K$12</f>
        <v>2.5806999999999998</v>
      </c>
      <c r="T4" s="6">
        <f>Tables!$K$13</f>
        <v>2.7477000000000005</v>
      </c>
      <c r="V4" s="6">
        <f>Tables!$K$14</f>
        <v>3.2725000000000004</v>
      </c>
      <c r="X4" s="6"/>
      <c r="AB4" s="6"/>
      <c r="AF4" s="6"/>
      <c r="AJ4" s="6"/>
      <c r="AN4" s="6"/>
      <c r="AR4" s="6"/>
    </row>
    <row r="5" spans="1:44" ht="12.75">
      <c r="A5" s="5" t="s">
        <v>16</v>
      </c>
      <c r="B5" s="6">
        <f>IF(Beregn!$B$5=2,Tables!$B$21,Tables!$E$21)</f>
        <v>5.973</v>
      </c>
      <c r="C5" s="5"/>
      <c r="D5" s="6">
        <f>IF(Beregn!$B$5=2,Tables!$B$22,Tables!$E$22)</f>
        <v>5.782</v>
      </c>
      <c r="E5" s="5"/>
      <c r="F5" s="6">
        <f>IF(Beregn!$B$5=2,Tables!$B$23,Tables!$E$23)</f>
        <v>4.713</v>
      </c>
      <c r="G5" s="5"/>
      <c r="H5" s="6">
        <f>IF(Beregn!$B$5=2,Tables!$B$24,Tables!$E$24)</f>
        <v>3.45</v>
      </c>
      <c r="J5" s="6">
        <f>IF(Beregn!$B$5=2,Tables!$B$25,Tables!$E$25)</f>
        <v>1.739</v>
      </c>
      <c r="L5" s="6">
        <f>IF(Beregn!$B$5=2,Tables!$B$26,Tables!$E$26)</f>
        <v>1.033</v>
      </c>
      <c r="N5" s="6">
        <f>IF(Beregn!$B$5=2,Tables!$B$27,Tables!$E$27)</f>
        <v>0.4655</v>
      </c>
      <c r="P5" s="6">
        <f>IF(Beregn!$B$5=2,Tables!$B$28,Tables!$E$28)</f>
        <v>0.2924</v>
      </c>
      <c r="R5" s="6">
        <f>IF(Beregn!$B$5=2,Tables!$B$29,Tables!$E$29)</f>
        <v>0.1829</v>
      </c>
      <c r="T5" s="6">
        <f>IF(Beregn!$B$5=2,Tables!$B$30,Tables!$E$30)</f>
        <v>0.115</v>
      </c>
      <c r="V5" s="6">
        <f>IF(Beregn!$B$5=2,Tables!$B$31,Tables!$E$31)</f>
        <v>0.07001</v>
      </c>
      <c r="X5" s="6"/>
      <c r="AB5" s="6"/>
      <c r="AF5" s="6"/>
      <c r="AJ5" s="6"/>
      <c r="AN5" s="6"/>
      <c r="AR5" s="6"/>
    </row>
    <row r="6" spans="1:44" ht="12.75">
      <c r="A6" s="5" t="s">
        <v>26</v>
      </c>
      <c r="B6" s="6">
        <f>Tables!$E$38</f>
        <v>-0.1515711645101665</v>
      </c>
      <c r="C6" s="5"/>
      <c r="D6" s="6">
        <f>Tables!$E$39</f>
        <v>-0.0970504281636535</v>
      </c>
      <c r="E6" s="5"/>
      <c r="F6" s="6">
        <f>Tables!$E$40</f>
        <v>-0.0769230769230771</v>
      </c>
      <c r="G6" s="5"/>
      <c r="H6" s="6">
        <f>Tables!$E$41</f>
        <v>-0.11569625023553787</v>
      </c>
      <c r="J6" s="6">
        <f>Tables!$E$42</f>
        <v>-0.2004678783516285</v>
      </c>
      <c r="L6" s="6">
        <f>Tables!$E$43</f>
        <v>-0.20531227566403465</v>
      </c>
      <c r="N6" s="6">
        <f>Tables!$E$44</f>
        <v>-0.17017383348581872</v>
      </c>
      <c r="P6" s="6">
        <f>Tables!$E$45</f>
        <v>-0.18873392501358466</v>
      </c>
      <c r="R6" s="6">
        <f>Tables!$E$46</f>
        <v>-0.14505657577443887</v>
      </c>
      <c r="T6" s="6">
        <f>Tables!$E$47</f>
        <v>-0.14883376527212144</v>
      </c>
      <c r="V6" s="6">
        <f>Tables!$E$48</f>
        <v>-0.10498389236308481</v>
      </c>
      <c r="X6" s="6"/>
      <c r="AB6" s="6"/>
      <c r="AF6" s="6"/>
      <c r="AJ6" s="6"/>
      <c r="AN6" s="6"/>
      <c r="AR6" s="6"/>
    </row>
    <row r="7" spans="1:44" ht="12.75">
      <c r="A7" s="5" t="s">
        <v>27</v>
      </c>
      <c r="B7" s="6">
        <f>Tables!$L$4</f>
        <v>0.2903700000000001</v>
      </c>
      <c r="C7" s="5"/>
      <c r="D7" s="6">
        <f>Tables!$L$5</f>
        <v>0.2792025000000001</v>
      </c>
      <c r="E7" s="5"/>
      <c r="F7" s="6">
        <f>Tables!$L$6</f>
        <v>0.2917</v>
      </c>
      <c r="G7" s="5"/>
      <c r="H7" s="6">
        <f>Tables!$L$7</f>
        <v>0.31071499999999985</v>
      </c>
      <c r="J7" s="6">
        <f>Tables!$L$8</f>
        <v>0.32284000000000007</v>
      </c>
      <c r="L7" s="6">
        <f>Tables!$L$9</f>
        <v>0.3393950000000001</v>
      </c>
      <c r="N7" s="6">
        <f>Tables!$L$10</f>
        <v>0.31558250000000004</v>
      </c>
      <c r="P7" s="6">
        <f>Tables!$L$11</f>
        <v>0.2608575000000001</v>
      </c>
      <c r="R7" s="6">
        <f>Tables!$L$12</f>
        <v>0.2318249999999999</v>
      </c>
      <c r="T7" s="6">
        <f>Tables!$L$13</f>
        <v>0.26346250000000004</v>
      </c>
      <c r="V7" s="6">
        <f>Tables!$L$14</f>
        <v>0.2326320000000001</v>
      </c>
      <c r="X7" s="6"/>
      <c r="AB7" s="6"/>
      <c r="AF7" s="6"/>
      <c r="AJ7" s="6"/>
      <c r="AN7" s="6"/>
      <c r="AR7" s="6"/>
    </row>
    <row r="8" spans="1:44" ht="12.75">
      <c r="A8" s="5" t="s">
        <v>28</v>
      </c>
      <c r="B8" s="6">
        <f>IF(Beregn!$B$5=2,Tables!$D$21,Tables!$G$21)</f>
        <v>0.1354</v>
      </c>
      <c r="C8" s="5"/>
      <c r="D8" s="6">
        <f>IF(Beregn!$B$5=2,Tables!$D$22,Tables!$G$22)</f>
        <v>0.1191</v>
      </c>
      <c r="E8" s="5"/>
      <c r="F8" s="6">
        <f>IF(Beregn!$B$5=2,Tables!$D$23,Tables!$G$23)</f>
        <v>0.03649</v>
      </c>
      <c r="G8" s="5"/>
      <c r="H8" s="6">
        <f>IF(Beregn!$B$5=2,Tables!$D$24,Tables!$G$24)</f>
        <v>0.01661</v>
      </c>
      <c r="J8" s="6">
        <f>IF(Beregn!$B$5=2,Tables!$D$25,Tables!$G$25)</f>
        <v>0.003275</v>
      </c>
      <c r="L8" s="6">
        <f>IF(Beregn!$B$5=2,Tables!$D$26,Tables!$G$26)</f>
        <v>0.002154</v>
      </c>
      <c r="N8" s="6">
        <f>IF(Beregn!$B$5=2,Tables!$D$27,Tables!$G$27)</f>
        <v>0.0003529</v>
      </c>
      <c r="P8" s="6">
        <f>IF(Beregn!$B$5=2,Tables!$D$28,Tables!$G$28)</f>
        <v>0.0007802</v>
      </c>
      <c r="R8" s="6">
        <f>IF(Beregn!$B$5=2,Tables!$D$29,Tables!$G$29)</f>
        <v>0.0007697</v>
      </c>
      <c r="T8" s="6">
        <f>IF(Beregn!$B$5=2,Tables!$D$30,Tables!$G$30)</f>
        <v>0.0002294</v>
      </c>
      <c r="V8" s="6">
        <f>IF(Beregn!$B$5=2,Tables!$D$31,Tables!$G$31)</f>
        <v>6.962E-05</v>
      </c>
      <c r="X8" s="6"/>
      <c r="AB8" s="6"/>
      <c r="AF8" s="6"/>
      <c r="AJ8" s="6"/>
      <c r="AN8" s="6"/>
      <c r="AR8" s="6"/>
    </row>
    <row r="9" spans="1:44" ht="12.75">
      <c r="A9" s="5" t="s">
        <v>29</v>
      </c>
      <c r="B9" s="7">
        <f>Tables!$G$38</f>
        <v>0.010734026747553626</v>
      </c>
      <c r="C9" s="5"/>
      <c r="D9" s="7">
        <f>Tables!$G$39</f>
        <v>0.0038526620056774778</v>
      </c>
      <c r="E9" s="5"/>
      <c r="F9" s="7">
        <f>Tables!$G$40</f>
        <v>0.0004386171265011729</v>
      </c>
      <c r="G9" s="5"/>
      <c r="H9" s="7">
        <f>Tables!$G$41</f>
        <v>0.0016817424206539769</v>
      </c>
      <c r="J9" s="7">
        <f>Tables!$G$42</f>
        <v>0.0012248453439588944</v>
      </c>
      <c r="L9" s="7">
        <f>Tables!$G$43</f>
        <v>0.0037855538839664704</v>
      </c>
      <c r="N9" s="7">
        <f>Tables!$G$44</f>
        <v>0.0011059523720739982</v>
      </c>
      <c r="P9" s="7">
        <f>Tables!$G$45</f>
        <v>0.003938142446315943</v>
      </c>
      <c r="R9" s="7">
        <f>Tables!$G$46</f>
        <v>0.004331966427140213</v>
      </c>
      <c r="T9" s="7">
        <f>Tables!$G$47</f>
        <v>0.008929431063161738</v>
      </c>
      <c r="V9" s="7">
        <f>Tables!$G$48</f>
        <v>0.008277877571695192</v>
      </c>
      <c r="X9" s="7"/>
      <c r="AB9" s="7"/>
      <c r="AF9" s="7"/>
      <c r="AJ9" s="7"/>
      <c r="AN9" s="7"/>
      <c r="AR9" s="7"/>
    </row>
    <row r="10" ht="12.75">
      <c r="A10" s="5"/>
    </row>
    <row r="11" spans="1:3" ht="12.75">
      <c r="A11" s="5" t="s">
        <v>54</v>
      </c>
      <c r="C11">
        <f>MIN(B4:V4)</f>
        <v>2.5806999999999998</v>
      </c>
    </row>
    <row r="12" ht="12.75">
      <c r="A12" s="5"/>
    </row>
    <row r="13" spans="1:45" ht="12.75">
      <c r="A13" s="5" t="s">
        <v>30</v>
      </c>
      <c r="B13" s="5" t="s">
        <v>38</v>
      </c>
      <c r="C13" s="5" t="s">
        <v>39</v>
      </c>
      <c r="D13" s="5" t="s">
        <v>38</v>
      </c>
      <c r="E13" s="5" t="s">
        <v>39</v>
      </c>
      <c r="F13" s="5" t="s">
        <v>38</v>
      </c>
      <c r="G13" s="5" t="s">
        <v>39</v>
      </c>
      <c r="H13" s="5" t="s">
        <v>38</v>
      </c>
      <c r="I13" s="5" t="s">
        <v>39</v>
      </c>
      <c r="J13" s="5" t="s">
        <v>38</v>
      </c>
      <c r="K13" s="5" t="s">
        <v>39</v>
      </c>
      <c r="L13" s="5" t="s">
        <v>38</v>
      </c>
      <c r="M13" s="5" t="s">
        <v>39</v>
      </c>
      <c r="N13" s="5" t="s">
        <v>38</v>
      </c>
      <c r="O13" s="5" t="s">
        <v>39</v>
      </c>
      <c r="P13" s="5" t="s">
        <v>38</v>
      </c>
      <c r="Q13" s="5" t="s">
        <v>39</v>
      </c>
      <c r="R13" s="5" t="s">
        <v>38</v>
      </c>
      <c r="S13" s="5" t="s">
        <v>39</v>
      </c>
      <c r="T13" s="5" t="s">
        <v>38</v>
      </c>
      <c r="U13" s="5" t="s">
        <v>39</v>
      </c>
      <c r="V13" s="5" t="s">
        <v>38</v>
      </c>
      <c r="W13" s="5" t="s">
        <v>39</v>
      </c>
      <c r="X13" s="5"/>
      <c r="Y13" s="5"/>
      <c r="AB13" s="5"/>
      <c r="AC13" s="5"/>
      <c r="AF13" s="5"/>
      <c r="AG13" s="5"/>
      <c r="AJ13" s="5"/>
      <c r="AK13" s="5"/>
      <c r="AN13" s="5"/>
      <c r="AO13" s="5"/>
      <c r="AR13" s="5"/>
      <c r="AS13" s="5"/>
    </row>
    <row r="14" spans="1:45" ht="12.75">
      <c r="A14">
        <f>Beregn!B8</f>
        <v>10</v>
      </c>
      <c r="B14" s="6">
        <f>B$5*(1+B$6)/B$6*(1-(1/($A14*B$4))^B$6)+B$3</f>
        <v>40.20808493862882</v>
      </c>
      <c r="C14" s="5">
        <f>SQRT(((1+B$6)*B$5*$A14*(B$4*$A14)^(-B$6-1))^2*B$7+((1+B$6)/B$6*(1-(1/($A14*B$4))^B$6))^2*B$8+((1+B$6)*B$5*((B$4*$A14)^(-B$6)/B$6*LN(B$4*$A14)-1/B$6^2*(1-(B$4*$A14)^(-B$6))))^2*B$9)</f>
        <v>5.362460552573038</v>
      </c>
      <c r="D14" s="6">
        <f>D$5*(1+D$6)/D$6*(1-(1/($A14*D$4))^D$6)+D$3</f>
        <v>35.26539322497325</v>
      </c>
      <c r="E14" s="5">
        <f>SQRT(((1+D$6)*D$5*$A14*(D$4*$A14)^(-D$6-1))^2*D$7+((1+D$6)/D$6*(1-(1/($A14*D$4))^D$6))^2*D$8+((1+D$6)*D$5*((D$4*$A14)^(-D$6)/D$6*LN(D$4*$A14)-1/D$6^2*(1-(D$4*$A14)^(-D$6))))^2*D$9)</f>
        <v>3.159970351132229</v>
      </c>
      <c r="F14" s="6">
        <f>F$5*(1+F$6)/F$6*(1-(1/($A14*F$4))^F$6)+F$3</f>
        <v>26.782861358286155</v>
      </c>
      <c r="G14" s="5">
        <f>SQRT(((1+F$6)*F$5*$A14*(F$4*$A14)^(-F$6-1))^2*F$7+((1+F$6)/F$6*(1-(1/($A14*F$4))^F$6))^2*F$8+((1+F$6)*F$5*((F$4*$A14)^(-F$6)/F$6*LN(F$4*$A14)-1/F$6^2*(1-(F$4*$A14)^(-F$6))))^2*F$9)</f>
        <v>1.3336849764877026</v>
      </c>
      <c r="H14" s="6">
        <f>H$5*(1+H$6)/H$6*(1-(1/($A14*H$4))^H$6)+H$3</f>
        <v>19.862114840118647</v>
      </c>
      <c r="I14" s="5">
        <f>SQRT(((1+H$6)*H$5*$A14*(H$4*$A14)^(-H$6-1))^2*H$7+((1+H$6)/H$6*(1-(1/($A14*H$4))^H$6))^2*H$8+((1+H$6)*H$5*((H$4*$A14)^(-H$6)/H$6*LN(H$4*$A14)-1/H$6^2*(1-(H$4*$A14)^(-H$6))))^2*H$9)</f>
        <v>1.3983403826436804</v>
      </c>
      <c r="J14" s="6">
        <f>J$5*(1+J$6)/J$6*(1-(1/($A14*J$4))^J$6)+J$3</f>
        <v>10.420828250759167</v>
      </c>
      <c r="K14" s="5">
        <f>SQRT(((1+J$6)*J$5*$A14*(J$4*$A14)^(-J$6-1))^2*J$7+((1+J$6)/J$6*(1-(1/($A14*J$4))^J$6))^2*J$8+((1+J$6)*J$5*((J$4*$A14)^(-J$6)/J$6*LN(J$4*$A14)-1/J$6^2*(1-(J$4*$A14)^(-J$6))))^2*J$9)</f>
        <v>0.7210229164184025</v>
      </c>
      <c r="L14" s="6">
        <f>L$5*(1+L$6)/L$6*(1-(1/($A14*L$4))^L$6)+L$3</f>
        <v>6.377095431836038</v>
      </c>
      <c r="M14" s="5">
        <f>SQRT(((1+L$6)*L$5*$A14*(L$4*$A14)^(-L$6-1))^2*L$7+((1+L$6)/L$6*(1-(1/($A14*L$4))^L$6))^2*L$8+((1+L$6)*L$5*((L$4*$A14)^(-L$6)/L$6*LN(L$4*$A14)-1/L$6^2*(1-(L$4*$A14)^(-L$6))))^2*L$9)</f>
        <v>0.6257852714093322</v>
      </c>
      <c r="N14" s="6">
        <f>N$5*(1+N$6)/N$6*(1-(1/($A14*N$4))^N$6)+N$3</f>
        <v>2.942856431221702</v>
      </c>
      <c r="O14" s="5">
        <f>SQRT(((1+N$6)*N$5*$A14*(N$4*$A14)^(-N$6-1))^2*N$7+((1+N$6)/N$6*(1-(1/($A14*N$4))^N$6))^2*N$8+((1+N$6)*N$5*((N$4*$A14)^(-N$6)/N$6*LN(N$4*$A14)-1/N$6^2*(1-(N$4*$A14)^(-N$6))))^2*N$9)</f>
        <v>0.1834625489234902</v>
      </c>
      <c r="P14" s="6">
        <f>P$5*(1+P$6)/P$6*(1-(1/($A14*P$4))^P$6)+P$3</f>
        <v>1.8577348884332958</v>
      </c>
      <c r="Q14" s="5">
        <f>SQRT(((1+P$6)*P$5*$A14*(P$4*$A14)^(-P$6-1))^2*P$7+((1+P$6)/P$6*(1-(1/($A14*P$4))^P$6))^2*P$8+((1+P$6)*P$5*((P$4*$A14)^(-P$6)/P$6*LN(P$4*$A14)-1/P$6^2*(1-(P$4*$A14)^(-P$6))))^2*P$9)</f>
        <v>0.187633507199887</v>
      </c>
      <c r="R14" s="6">
        <f>R$5*(1+R$6)/R$6*(1-(1/($A14*R$4))^R$6)+R$3</f>
        <v>1.0994228266733572</v>
      </c>
      <c r="S14" s="5">
        <f>SQRT(((1+R$6)*R$5*$A14*(R$4*$A14)^(-R$6-1))^2*R$7+((1+R$6)/R$6*(1-(1/($A14*R$4))^R$6))^2*R$8+((1+R$6)*R$5*((R$4*$A14)^(-R$6)/R$6*LN(R$4*$A14)-1/R$6^2*(1-(R$4*$A14)^(-R$6))))^2*R$9)</f>
        <v>0.13229210679070505</v>
      </c>
      <c r="T14" s="6">
        <f>T$5*(1+T$6)/T$6*(1-(1/($A14*T$4))^T$6)+T$3</f>
        <v>0.6792323243415647</v>
      </c>
      <c r="U14" s="5">
        <f>SQRT(((1+T$6)*T$5*$A14*(T$4*$A14)^(-T$6-1))^2*T$7+((1+T$6)/T$6*(1-(1/($A14*T$4))^T$6))^2*T$8+((1+T$6)*T$5*((T$4*$A14)^(-T$6)/T$6*LN(T$4*$A14)-1/T$6^2*(1-(T$4*$A14)^(-T$6))))^2*T$9)</f>
        <v>0.09479713069064452</v>
      </c>
      <c r="V14" s="6">
        <f>V$5*(1+V$6)/V$6*(1-(1/($A14*V$4))^V$6)+V$3</f>
        <v>0.41395364887670183</v>
      </c>
      <c r="W14" s="5">
        <f>SQRT(((1+V$6)*V$5*$A14*(V$4*$A14)^(-V$6-1))^2*V$7+((1+V$6)/V$6*(1-(1/($A14*V$4))^V$6))^2*V$8+((1+V$6)*V$5*((V$4*$A14)^(-V$6)/V$6*LN(V$4*$A14)-1/V$6^2*(1-(V$4*$A14)^(-V$6))))^2*V$9)</f>
        <v>0.05604898145993567</v>
      </c>
      <c r="X14" s="6"/>
      <c r="Y14" s="5"/>
      <c r="AB14" s="6"/>
      <c r="AC14" s="5"/>
      <c r="AF14" s="6"/>
      <c r="AG14" s="5"/>
      <c r="AJ14" s="6"/>
      <c r="AK14" s="5"/>
      <c r="AN14" s="6"/>
      <c r="AO14" s="5"/>
      <c r="AR14" s="6"/>
      <c r="AS14" s="5"/>
    </row>
    <row r="15" spans="2:39" ht="12.75">
      <c r="B15" s="6"/>
      <c r="C15" s="5"/>
      <c r="D15" s="6"/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Q15" s="5"/>
      <c r="R15" s="6"/>
      <c r="S15" s="5"/>
      <c r="V15" s="6"/>
      <c r="W15" s="5"/>
      <c r="Z15" s="6"/>
      <c r="AA15" s="5"/>
      <c r="AD15" s="6"/>
      <c r="AE15" s="5"/>
      <c r="AH15" s="6"/>
      <c r="AI15" s="5"/>
      <c r="AL15" s="6"/>
      <c r="AM15" s="5"/>
    </row>
    <row r="16" spans="1:39" ht="12.75">
      <c r="A16" t="s">
        <v>60</v>
      </c>
      <c r="B16" t="s">
        <v>38</v>
      </c>
      <c r="C16" t="s">
        <v>50</v>
      </c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Q16" s="5"/>
      <c r="R16" s="6"/>
      <c r="S16" s="5"/>
      <c r="V16" s="6"/>
      <c r="W16" s="5"/>
      <c r="Z16" s="6"/>
      <c r="AA16" s="5"/>
      <c r="AD16" s="6"/>
      <c r="AE16" s="5"/>
      <c r="AH16" s="6"/>
      <c r="AI16" s="5"/>
      <c r="AL16" s="6"/>
      <c r="AM16" s="5"/>
    </row>
    <row r="17" spans="1:39" ht="12.75">
      <c r="A17">
        <v>1</v>
      </c>
      <c r="B17" s="4">
        <f>B14</f>
        <v>40.20808493862882</v>
      </c>
      <c r="C17" s="4">
        <f>C14</f>
        <v>5.362460552573038</v>
      </c>
      <c r="D17" s="4"/>
      <c r="E17" s="13"/>
      <c r="F17" s="6"/>
      <c r="G17" s="5"/>
      <c r="H17" s="6"/>
      <c r="I17" s="5"/>
      <c r="J17" s="6"/>
      <c r="K17" s="5"/>
      <c r="L17" s="6"/>
      <c r="M17" s="5"/>
      <c r="N17" s="6"/>
      <c r="O17" s="5"/>
      <c r="P17" s="6"/>
      <c r="Q17" s="5"/>
      <c r="R17" s="6"/>
      <c r="S17" s="5"/>
      <c r="V17" s="6"/>
      <c r="W17" s="5"/>
      <c r="Z17" s="6"/>
      <c r="AA17" s="5"/>
      <c r="AD17" s="6"/>
      <c r="AE17" s="5"/>
      <c r="AH17" s="6"/>
      <c r="AI17" s="5"/>
      <c r="AL17" s="6"/>
      <c r="AM17" s="5"/>
    </row>
    <row r="18" spans="1:39" ht="12.75">
      <c r="A18">
        <v>2</v>
      </c>
      <c r="B18" s="4">
        <f>D14</f>
        <v>35.26539322497325</v>
      </c>
      <c r="C18" s="4">
        <f>E14</f>
        <v>3.159970351132229</v>
      </c>
      <c r="D18" s="4"/>
      <c r="E18" s="13"/>
      <c r="F18" s="6"/>
      <c r="G18" s="5"/>
      <c r="H18" s="6"/>
      <c r="I18" s="5"/>
      <c r="J18" s="6"/>
      <c r="K18" s="5"/>
      <c r="L18" s="6"/>
      <c r="M18" s="5"/>
      <c r="N18" s="6"/>
      <c r="O18" s="5"/>
      <c r="P18" s="6"/>
      <c r="Q18" s="5"/>
      <c r="R18" s="6"/>
      <c r="S18" s="5"/>
      <c r="V18" s="6"/>
      <c r="W18" s="5"/>
      <c r="Z18" s="6"/>
      <c r="AA18" s="5"/>
      <c r="AD18" s="6"/>
      <c r="AE18" s="5"/>
      <c r="AH18" s="6"/>
      <c r="AI18" s="5"/>
      <c r="AL18" s="6"/>
      <c r="AM18" s="5"/>
    </row>
    <row r="19" spans="1:39" ht="12.75">
      <c r="A19">
        <v>5</v>
      </c>
      <c r="B19" s="4">
        <f>F14</f>
        <v>26.782861358286155</v>
      </c>
      <c r="C19" s="4">
        <f>G14</f>
        <v>1.3336849764877026</v>
      </c>
      <c r="D19" s="4"/>
      <c r="E19" s="13"/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Q19" s="5"/>
      <c r="R19" s="6"/>
      <c r="S19" s="5"/>
      <c r="V19" s="6"/>
      <c r="W19" s="5"/>
      <c r="Z19" s="6"/>
      <c r="AA19" s="5"/>
      <c r="AD19" s="6"/>
      <c r="AE19" s="5"/>
      <c r="AH19" s="6"/>
      <c r="AI19" s="5"/>
      <c r="AL19" s="6"/>
      <c r="AM19" s="5"/>
    </row>
    <row r="20" spans="1:39" ht="12.75">
      <c r="A20">
        <v>10</v>
      </c>
      <c r="B20" s="4">
        <f>H14</f>
        <v>19.862114840118647</v>
      </c>
      <c r="C20" s="4">
        <f>I14</f>
        <v>1.3983403826436804</v>
      </c>
      <c r="D20" s="4"/>
      <c r="E20" s="13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Q20" s="5"/>
      <c r="R20" s="6"/>
      <c r="S20" s="5"/>
      <c r="V20" s="6"/>
      <c r="W20" s="5"/>
      <c r="Z20" s="6"/>
      <c r="AA20" s="5"/>
      <c r="AD20" s="6"/>
      <c r="AE20" s="5"/>
      <c r="AH20" s="6"/>
      <c r="AI20" s="5"/>
      <c r="AL20" s="6"/>
      <c r="AM20" s="5"/>
    </row>
    <row r="21" spans="1:5" ht="12.75">
      <c r="A21">
        <v>30</v>
      </c>
      <c r="B21" s="4">
        <f>J14</f>
        <v>10.420828250759167</v>
      </c>
      <c r="C21" s="4">
        <f>K14</f>
        <v>0.7210229164184025</v>
      </c>
      <c r="D21" s="4"/>
      <c r="E21" s="13"/>
    </row>
    <row r="22" spans="1:5" ht="12.75">
      <c r="A22">
        <v>60</v>
      </c>
      <c r="B22" s="4">
        <f>L14</f>
        <v>6.377095431836038</v>
      </c>
      <c r="C22" s="4">
        <f>M14</f>
        <v>0.6257852714093322</v>
      </c>
      <c r="D22" s="4"/>
      <c r="E22" s="13"/>
    </row>
    <row r="23" spans="1:5" ht="12.75">
      <c r="A23">
        <v>180</v>
      </c>
      <c r="B23" s="4">
        <f>N14</f>
        <v>2.942856431221702</v>
      </c>
      <c r="C23" s="4">
        <f>O14</f>
        <v>0.1834625489234902</v>
      </c>
      <c r="D23" s="4"/>
      <c r="E23" s="13"/>
    </row>
    <row r="24" spans="1:5" ht="12.75">
      <c r="A24">
        <v>360</v>
      </c>
      <c r="B24" s="4">
        <f>P14</f>
        <v>1.8577348884332958</v>
      </c>
      <c r="C24" s="4">
        <f>Q14</f>
        <v>0.187633507199887</v>
      </c>
      <c r="D24" s="4"/>
      <c r="E24" s="13"/>
    </row>
    <row r="25" spans="1:3" ht="12.75">
      <c r="A25">
        <v>720</v>
      </c>
      <c r="B25" s="4">
        <f>R14</f>
        <v>1.0994228266733572</v>
      </c>
      <c r="C25" s="4">
        <f>S14</f>
        <v>0.13229210679070505</v>
      </c>
    </row>
    <row r="26" spans="1:3" ht="12.75">
      <c r="A26">
        <v>1440</v>
      </c>
      <c r="B26" s="4">
        <f>T14</f>
        <v>0.6792323243415647</v>
      </c>
      <c r="C26" s="4">
        <f>U14</f>
        <v>0.09479713069064452</v>
      </c>
    </row>
    <row r="27" spans="1:3" ht="12.75">
      <c r="A27">
        <v>2880</v>
      </c>
      <c r="B27" s="4">
        <f>V14</f>
        <v>0.41395364887670183</v>
      </c>
      <c r="C27" s="4">
        <f>W14</f>
        <v>0.05604898145993567</v>
      </c>
    </row>
  </sheetData>
  <sheetProtection password="CC64"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Thomas Aabling Vandmiljø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LAR version 1.0</dc:title>
  <dc:subject>Beregning LAR på baggrund af CDS regn</dc:subject>
  <dc:creator>Thomas Aabling</dc:creator>
  <cp:keywords/>
  <dc:description>Det oprindelige regneark til beregning af CDS regn baseret på regionale IDF kurver. Regnearket er udgivet sammen med Spildevandskomitéens skrift nr. 26 "Regional variation af ekstremregn i Danmark"</dc:description>
  <cp:lastModifiedBy>Henriette Bloch Vejbæk</cp:lastModifiedBy>
  <cp:lastPrinted>2008-10-21T07:07:29Z</cp:lastPrinted>
  <dcterms:created xsi:type="dcterms:W3CDTF">1997-12-07T04:43:54Z</dcterms:created>
  <dcterms:modified xsi:type="dcterms:W3CDTF">2011-12-13T09:22:54Z</dcterms:modified>
  <cp:category/>
  <cp:version/>
  <cp:contentType/>
  <cp:contentStatus/>
</cp:coreProperties>
</file>